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W:\Kunden\Kunden_ObjektDaten\"/>
    </mc:Choice>
  </mc:AlternateContent>
  <xr:revisionPtr revIDLastSave="0" documentId="13_ncr:1_{D087DC97-B18E-4E9A-A26F-34A7D6483E23}" xr6:coauthVersionLast="47" xr6:coauthVersionMax="47" xr10:uidLastSave="{00000000-0000-0000-0000-000000000000}"/>
  <workbookProtection workbookAlgorithmName="SHA-512" workbookHashValue="vTXKIiOSYCp+G3XWILCmz5ETF76ZjPkUIXx0rgP1BPxapSN4puqb8bynxFQ0+/pUcsXS27uz1XmObsO0c8TiNA==" workbookSaltValue="z+I0lzdZw+0aIg+BKHIhQg==" workbookSpinCount="100000" lockStructure="1"/>
  <bookViews>
    <workbookView xWindow="-120" yWindow="-120" windowWidth="29040" windowHeight="15720" xr2:uid="{01572073-C9DC-4C24-A057-A6E84EC95D6B}"/>
  </bookViews>
  <sheets>
    <sheet name="Grunddaten" sheetId="11" r:id="rId1"/>
    <sheet name="Objekt 1" sheetId="15" r:id="rId2"/>
    <sheet name="Objekt 2" sheetId="16" r:id="rId3"/>
    <sheet name="Erfassung" sheetId="2" r:id="rId4"/>
    <sheet name="Berechnung" sheetId="12" r:id="rId5"/>
    <sheet name="Investition" sheetId="14" r:id="rId6"/>
    <sheet name="Installation" sheetId="17" r:id="rId7"/>
    <sheet name="Preise" sheetId="5" r:id="rId8"/>
    <sheet name="BasisDaten" sheetId="1" state="hidden" r:id="rId9"/>
  </sheets>
  <definedNames>
    <definedName name="_xlnm.Print_Area" localSheetId="4">Berechnung!$A$1:$E$47</definedName>
    <definedName name="_xlnm.Print_Area" localSheetId="3">Erfassung!$A$1:$J$66</definedName>
    <definedName name="_xlnm.Print_Area" localSheetId="5">Investition!$A$1:$E$47</definedName>
    <definedName name="JaNein">BasisDaten!$A$72:$A$73</definedName>
    <definedName name="Leer">BasisDaten!$A$74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7" l="1"/>
  <c r="B8" i="17"/>
  <c r="B5" i="17"/>
  <c r="B4" i="17"/>
  <c r="F1" i="17"/>
  <c r="B5" i="16"/>
  <c r="B4" i="16"/>
  <c r="B29" i="16"/>
  <c r="F1" i="16"/>
  <c r="B29" i="15"/>
  <c r="B4" i="15"/>
  <c r="B5" i="15"/>
  <c r="F1" i="15"/>
  <c r="B35" i="11"/>
  <c r="B8" i="11"/>
  <c r="A38" i="14" s="1"/>
  <c r="A22" i="14"/>
  <c r="A7" i="12" l="1"/>
  <c r="A2" i="2"/>
  <c r="A17" i="14"/>
  <c r="A20" i="12"/>
  <c r="A45" i="12"/>
  <c r="A34" i="14"/>
  <c r="A25" i="12"/>
  <c r="A40" i="12"/>
  <c r="A19" i="12"/>
  <c r="A44" i="12"/>
  <c r="A21" i="14"/>
  <c r="A24" i="12"/>
  <c r="A26" i="14"/>
  <c r="A6" i="12"/>
  <c r="A6" i="14"/>
  <c r="A33" i="14"/>
  <c r="A29" i="12"/>
  <c r="A11" i="14"/>
  <c r="A11" i="12"/>
  <c r="A39" i="12"/>
  <c r="A16" i="14"/>
  <c r="A12" i="14"/>
  <c r="A27" i="14"/>
  <c r="A30" i="12"/>
  <c r="A39" i="14"/>
  <c r="A14" i="12"/>
  <c r="A7" i="14"/>
  <c r="E14" i="14" l="1"/>
  <c r="R1" i="5" l="1"/>
  <c r="E1" i="14"/>
  <c r="E1" i="12"/>
  <c r="J1" i="2"/>
  <c r="F1" i="11"/>
  <c r="D33" i="12"/>
  <c r="P53" i="5"/>
  <c r="Q53" i="5"/>
  <c r="P54" i="5"/>
  <c r="Q54" i="5"/>
  <c r="P55" i="5"/>
  <c r="Q55" i="5"/>
  <c r="P56" i="5"/>
  <c r="Q56" i="5"/>
  <c r="P57" i="5"/>
  <c r="Q57" i="5"/>
  <c r="P58" i="5"/>
  <c r="Q58" i="5"/>
  <c r="P59" i="5"/>
  <c r="Q59" i="5"/>
  <c r="P60" i="5"/>
  <c r="Q60" i="5"/>
  <c r="P61" i="5"/>
  <c r="Q61" i="5"/>
  <c r="P62" i="5"/>
  <c r="Q62" i="5"/>
  <c r="P63" i="5"/>
  <c r="Q63" i="5"/>
  <c r="P64" i="5"/>
  <c r="Q64" i="5"/>
  <c r="O65" i="5"/>
  <c r="P65" i="5"/>
  <c r="Q65" i="5"/>
  <c r="O66" i="5"/>
  <c r="P66" i="5"/>
  <c r="Q66" i="5"/>
  <c r="O67" i="5"/>
  <c r="P67" i="5"/>
  <c r="Q67" i="5"/>
  <c r="O68" i="5"/>
  <c r="P68" i="5"/>
  <c r="Q68" i="5"/>
  <c r="Q52" i="5"/>
  <c r="P52" i="5"/>
  <c r="O52" i="5"/>
  <c r="D58" i="5"/>
  <c r="C58" i="5"/>
  <c r="B58" i="5"/>
  <c r="O53" i="5" s="1"/>
  <c r="O29" i="5"/>
  <c r="P29" i="5"/>
  <c r="Q29" i="5"/>
  <c r="P30" i="5"/>
  <c r="Q30" i="5"/>
  <c r="P31" i="5"/>
  <c r="Q31" i="5"/>
  <c r="P32" i="5"/>
  <c r="Q32" i="5"/>
  <c r="P33" i="5"/>
  <c r="Q33" i="5"/>
  <c r="P34" i="5"/>
  <c r="Q34" i="5"/>
  <c r="P35" i="5"/>
  <c r="Q35" i="5"/>
  <c r="P36" i="5"/>
  <c r="Q36" i="5"/>
  <c r="O37" i="5"/>
  <c r="P37" i="5"/>
  <c r="Q37" i="5"/>
  <c r="O38" i="5"/>
  <c r="P38" i="5"/>
  <c r="Q38" i="5"/>
  <c r="Q28" i="5"/>
  <c r="P28" i="5"/>
  <c r="O28" i="5"/>
  <c r="D29" i="5"/>
  <c r="C29" i="5"/>
  <c r="B29" i="5"/>
  <c r="O30" i="5" s="1"/>
  <c r="O63" i="5" l="1"/>
  <c r="O61" i="5"/>
  <c r="O59" i="5"/>
  <c r="O64" i="5"/>
  <c r="O60" i="5"/>
  <c r="O54" i="5"/>
  <c r="O62" i="5"/>
  <c r="O58" i="5"/>
  <c r="O56" i="5"/>
  <c r="O57" i="5"/>
  <c r="O55" i="5"/>
  <c r="O36" i="5"/>
  <c r="O34" i="5"/>
  <c r="O32" i="5"/>
  <c r="O35" i="5"/>
  <c r="O33" i="5"/>
  <c r="O31" i="5"/>
  <c r="B27" i="1"/>
  <c r="E15" i="14"/>
  <c r="F19" i="14"/>
  <c r="F16" i="14"/>
  <c r="C7" i="14"/>
  <c r="C6" i="14"/>
  <c r="C11" i="14" s="1"/>
  <c r="F14" i="12"/>
  <c r="F11" i="12"/>
  <c r="C27" i="14" l="1"/>
  <c r="C12" i="14"/>
  <c r="C22" i="14"/>
  <c r="C26" i="14"/>
  <c r="C21" i="14"/>
  <c r="B7" i="12"/>
  <c r="B35" i="12" s="1"/>
  <c r="B6" i="12"/>
  <c r="B34" i="12" s="1"/>
  <c r="B25" i="12" l="1"/>
  <c r="B40" i="12"/>
  <c r="B14" i="12"/>
  <c r="B30" i="12"/>
  <c r="B29" i="12"/>
  <c r="B24" i="12"/>
  <c r="B39" i="12"/>
  <c r="B11" i="12"/>
  <c r="E33" i="12"/>
  <c r="E34" i="12" s="1"/>
  <c r="E35" i="12" l="1"/>
  <c r="Q17" i="5"/>
  <c r="Q25" i="5"/>
  <c r="Q26" i="5"/>
  <c r="Q16" i="5"/>
  <c r="O17" i="5"/>
  <c r="O25" i="5"/>
  <c r="O26" i="5"/>
  <c r="O16" i="5"/>
  <c r="O3" i="5"/>
  <c r="O13" i="5"/>
  <c r="O14" i="5"/>
  <c r="O2" i="5"/>
  <c r="B21" i="5"/>
  <c r="O19" i="5" s="1"/>
  <c r="B7" i="5"/>
  <c r="O5" i="5" s="1"/>
  <c r="P17" i="5"/>
  <c r="P25" i="5"/>
  <c r="P26" i="5"/>
  <c r="P16" i="5"/>
  <c r="D21" i="5"/>
  <c r="Q23" i="5" s="1"/>
  <c r="C21" i="5"/>
  <c r="P22" i="5" s="1"/>
  <c r="R2" i="5"/>
  <c r="R3" i="5"/>
  <c r="R4" i="5"/>
  <c r="R5" i="5"/>
  <c r="R6" i="5"/>
  <c r="R7" i="5"/>
  <c r="R8" i="5"/>
  <c r="R9" i="5"/>
  <c r="R10" i="5"/>
  <c r="R11" i="5"/>
  <c r="R12" i="5"/>
  <c r="R13" i="5"/>
  <c r="R14" i="5"/>
  <c r="B25" i="11"/>
  <c r="B66" i="2"/>
  <c r="C66" i="2"/>
  <c r="D66" i="2"/>
  <c r="J65" i="2"/>
  <c r="P24" i="5" l="1"/>
  <c r="O24" i="5"/>
  <c r="Q20" i="5"/>
  <c r="O8" i="5"/>
  <c r="Q19" i="5"/>
  <c r="O21" i="5"/>
  <c r="C25" i="11"/>
  <c r="O18" i="5"/>
  <c r="P18" i="5"/>
  <c r="O7" i="5"/>
  <c r="O20" i="5"/>
  <c r="P19" i="5"/>
  <c r="P23" i="5"/>
  <c r="O10" i="5"/>
  <c r="O4" i="5"/>
  <c r="O23" i="5"/>
  <c r="Q22" i="5"/>
  <c r="P20" i="5"/>
  <c r="O9" i="5"/>
  <c r="O22" i="5"/>
  <c r="Q21" i="5"/>
  <c r="O12" i="5"/>
  <c r="O6" i="5"/>
  <c r="Q24" i="5"/>
  <c r="Q18" i="5"/>
  <c r="O11" i="5"/>
  <c r="P21" i="5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AB60" i="2"/>
  <c r="AA60" i="2"/>
  <c r="Z60" i="2"/>
  <c r="AC60" i="2" s="1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AB57" i="2"/>
  <c r="AA57" i="2"/>
  <c r="Z57" i="2"/>
  <c r="AC57" i="2" s="1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AB54" i="2"/>
  <c r="AA54" i="2"/>
  <c r="Z54" i="2"/>
  <c r="AC54" i="2" s="1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AB52" i="2"/>
  <c r="AA52" i="2"/>
  <c r="Z52" i="2"/>
  <c r="AC52" i="2" s="1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AB51" i="2"/>
  <c r="AA51" i="2"/>
  <c r="Z51" i="2"/>
  <c r="AC51" i="2" s="1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Q14" i="5"/>
  <c r="P14" i="5"/>
  <c r="Q13" i="5"/>
  <c r="P13" i="5"/>
  <c r="D7" i="5"/>
  <c r="Q6" i="5" s="1"/>
  <c r="C7" i="5"/>
  <c r="P11" i="5" s="1"/>
  <c r="Q3" i="5"/>
  <c r="P3" i="5"/>
  <c r="Q2" i="5"/>
  <c r="P2" i="5"/>
  <c r="G16" i="14" l="1"/>
  <c r="H16" i="14"/>
  <c r="G19" i="14"/>
  <c r="H19" i="14"/>
  <c r="P12" i="5"/>
  <c r="P4" i="5"/>
  <c r="P6" i="5"/>
  <c r="P10" i="5"/>
  <c r="P8" i="5"/>
  <c r="Q5" i="5"/>
  <c r="Q7" i="5"/>
  <c r="Q9" i="5"/>
  <c r="Q4" i="5"/>
  <c r="Q8" i="5"/>
  <c r="Q10" i="5"/>
  <c r="Q12" i="5"/>
  <c r="P5" i="5"/>
  <c r="P7" i="5"/>
  <c r="P9" i="5"/>
  <c r="Q11" i="5"/>
  <c r="AC64" i="2"/>
  <c r="AC62" i="2"/>
  <c r="AC63" i="2"/>
  <c r="AC56" i="2"/>
  <c r="AC58" i="2"/>
  <c r="AC50" i="2"/>
  <c r="AC53" i="2"/>
  <c r="AC55" i="2"/>
  <c r="AC59" i="2"/>
  <c r="AC61" i="2"/>
  <c r="D4" i="2" l="1"/>
  <c r="K29" i="2" l="1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31" i="2" l="1"/>
  <c r="AC46" i="2"/>
  <c r="AC40" i="2"/>
  <c r="AC34" i="2"/>
  <c r="AC37" i="2"/>
  <c r="AC43" i="2"/>
  <c r="AC42" i="2"/>
  <c r="AC35" i="2"/>
  <c r="AC45" i="2"/>
  <c r="AC29" i="2"/>
  <c r="AC33" i="2"/>
  <c r="AC30" i="2"/>
  <c r="AC32" i="2"/>
  <c r="AC47" i="2"/>
  <c r="AC39" i="2"/>
  <c r="AC44" i="2"/>
  <c r="AC36" i="2"/>
  <c r="AC41" i="2"/>
  <c r="AC48" i="2"/>
  <c r="AC38" i="2"/>
  <c r="C5" i="12"/>
  <c r="C38" i="12" l="1"/>
  <c r="C20" i="14"/>
  <c r="E20" i="14" s="1"/>
  <c r="D5" i="12"/>
  <c r="E5" i="12" s="1"/>
  <c r="B10" i="12"/>
  <c r="D10" i="12" s="1"/>
  <c r="C28" i="12"/>
  <c r="D28" i="12" s="1"/>
  <c r="C23" i="12"/>
  <c r="D23" i="12" s="1"/>
  <c r="C6" i="12"/>
  <c r="C39" i="12" s="1"/>
  <c r="C7" i="12"/>
  <c r="C40" i="12" s="1"/>
  <c r="K16" i="2"/>
  <c r="L16" i="2"/>
  <c r="M16" i="2"/>
  <c r="K17" i="2"/>
  <c r="L17" i="2"/>
  <c r="M17" i="2"/>
  <c r="K18" i="2"/>
  <c r="L18" i="2"/>
  <c r="M18" i="2"/>
  <c r="K19" i="2"/>
  <c r="L19" i="2"/>
  <c r="M19" i="2"/>
  <c r="K20" i="2"/>
  <c r="L20" i="2"/>
  <c r="M20" i="2"/>
  <c r="K21" i="2"/>
  <c r="L21" i="2"/>
  <c r="M21" i="2"/>
  <c r="K22" i="2"/>
  <c r="L22" i="2"/>
  <c r="M22" i="2"/>
  <c r="K23" i="2"/>
  <c r="L23" i="2"/>
  <c r="M23" i="2"/>
  <c r="K24" i="2"/>
  <c r="L24" i="2"/>
  <c r="M24" i="2"/>
  <c r="K25" i="2"/>
  <c r="L25" i="2"/>
  <c r="M25" i="2"/>
  <c r="K26" i="2"/>
  <c r="L26" i="2"/>
  <c r="M26" i="2"/>
  <c r="K27" i="2"/>
  <c r="L27" i="2"/>
  <c r="M27" i="2"/>
  <c r="K28" i="2"/>
  <c r="L28" i="2"/>
  <c r="M28" i="2"/>
  <c r="K49" i="2"/>
  <c r="L49" i="2"/>
  <c r="M49" i="2"/>
  <c r="M15" i="2"/>
  <c r="L15" i="2"/>
  <c r="K15" i="2"/>
  <c r="M5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K7" i="2"/>
  <c r="E12" i="12" l="1"/>
  <c r="E15" i="12"/>
  <c r="E21" i="14"/>
  <c r="E22" i="14"/>
  <c r="E23" i="12"/>
  <c r="C29" i="12"/>
  <c r="C24" i="12"/>
  <c r="C25" i="12"/>
  <c r="C30" i="12"/>
  <c r="E29" i="12"/>
  <c r="E30" i="12"/>
  <c r="E28" i="12"/>
  <c r="G14" i="12"/>
  <c r="G11" i="12"/>
  <c r="H14" i="12"/>
  <c r="H11" i="12"/>
  <c r="AC24" i="2"/>
  <c r="AC18" i="2"/>
  <c r="AC49" i="2"/>
  <c r="AC27" i="2"/>
  <c r="AC22" i="2"/>
  <c r="AC25" i="2"/>
  <c r="AC20" i="2"/>
  <c r="AC19" i="2"/>
  <c r="AC28" i="2"/>
  <c r="AC23" i="2"/>
  <c r="AC16" i="2"/>
  <c r="AC26" i="2"/>
  <c r="AC21" i="2"/>
  <c r="AC17" i="2"/>
  <c r="AB15" i="2"/>
  <c r="AA15" i="2"/>
  <c r="Z15" i="2"/>
  <c r="Y15" i="2"/>
  <c r="X15" i="2"/>
  <c r="W15" i="2"/>
  <c r="C11" i="12" l="1"/>
  <c r="F10" i="12" s="1"/>
  <c r="E24" i="12"/>
  <c r="E38" i="12"/>
  <c r="E5" i="14" s="1"/>
  <c r="E10" i="14" s="1"/>
  <c r="E25" i="12"/>
  <c r="AC15" i="2"/>
  <c r="U15" i="2"/>
  <c r="T15" i="2"/>
  <c r="S15" i="2"/>
  <c r="R15" i="2"/>
  <c r="Q15" i="2"/>
  <c r="P15" i="2"/>
  <c r="O15" i="2"/>
  <c r="N15" i="2"/>
  <c r="V15" i="2"/>
  <c r="M9" i="2"/>
  <c r="L9" i="2"/>
  <c r="K9" i="2"/>
  <c r="K8" i="2"/>
  <c r="L8" i="2"/>
  <c r="L7" i="2"/>
  <c r="M6" i="2"/>
  <c r="L6" i="2"/>
  <c r="K6" i="2"/>
  <c r="L5" i="2"/>
  <c r="K5" i="2"/>
  <c r="C44" i="12" l="1"/>
  <c r="E11" i="12"/>
  <c r="E12" i="14"/>
  <c r="E11" i="14"/>
  <c r="E40" i="12"/>
  <c r="E39" i="12"/>
  <c r="E6" i="14"/>
  <c r="E26" i="14" s="1"/>
  <c r="E25" i="14"/>
  <c r="E7" i="14"/>
  <c r="E27" i="14" s="1"/>
  <c r="L10" i="2"/>
  <c r="K10" i="2"/>
  <c r="M10" i="2"/>
  <c r="E33" i="14" l="1"/>
  <c r="AF64" i="2"/>
  <c r="AI64" i="2" s="1"/>
  <c r="AF58" i="2"/>
  <c r="AI58" i="2" s="1"/>
  <c r="AF63" i="2"/>
  <c r="AI63" i="2" s="1"/>
  <c r="AF60" i="2"/>
  <c r="AI60" i="2" s="1"/>
  <c r="AF57" i="2"/>
  <c r="AI57" i="2" s="1"/>
  <c r="AF54" i="2"/>
  <c r="AI54" i="2" s="1"/>
  <c r="AF51" i="2"/>
  <c r="AI51" i="2" s="1"/>
  <c r="AF62" i="2"/>
  <c r="AI62" i="2" s="1"/>
  <c r="AF59" i="2"/>
  <c r="AI59" i="2" s="1"/>
  <c r="AF56" i="2"/>
  <c r="AI56" i="2" s="1"/>
  <c r="AF53" i="2"/>
  <c r="AI53" i="2" s="1"/>
  <c r="AF50" i="2"/>
  <c r="AI50" i="2" s="1"/>
  <c r="AF61" i="2"/>
  <c r="AI61" i="2" s="1"/>
  <c r="AF55" i="2"/>
  <c r="AI55" i="2" s="1"/>
  <c r="AF52" i="2"/>
  <c r="AI52" i="2" s="1"/>
  <c r="AD60" i="2"/>
  <c r="AG60" i="2" s="1"/>
  <c r="AD62" i="2"/>
  <c r="AG62" i="2" s="1"/>
  <c r="AD59" i="2"/>
  <c r="AG59" i="2" s="1"/>
  <c r="AD56" i="2"/>
  <c r="AG56" i="2" s="1"/>
  <c r="AD53" i="2"/>
  <c r="AG53" i="2" s="1"/>
  <c r="AD50" i="2"/>
  <c r="AG50" i="2" s="1"/>
  <c r="AD64" i="2"/>
  <c r="AG64" i="2" s="1"/>
  <c r="AD61" i="2"/>
  <c r="AG61" i="2" s="1"/>
  <c r="AD58" i="2"/>
  <c r="AG58" i="2" s="1"/>
  <c r="AD55" i="2"/>
  <c r="AG55" i="2" s="1"/>
  <c r="AD52" i="2"/>
  <c r="AG52" i="2" s="1"/>
  <c r="AD63" i="2"/>
  <c r="AG63" i="2" s="1"/>
  <c r="AD57" i="2"/>
  <c r="AG57" i="2" s="1"/>
  <c r="AD54" i="2"/>
  <c r="AG54" i="2" s="1"/>
  <c r="AD51" i="2"/>
  <c r="AG51" i="2" s="1"/>
  <c r="AE62" i="2"/>
  <c r="AH62" i="2" s="1"/>
  <c r="AE59" i="2"/>
  <c r="AH59" i="2" s="1"/>
  <c r="AE56" i="2"/>
  <c r="AH56" i="2" s="1"/>
  <c r="AE53" i="2"/>
  <c r="AH53" i="2" s="1"/>
  <c r="AE50" i="2"/>
  <c r="AH50" i="2" s="1"/>
  <c r="AE64" i="2"/>
  <c r="AH64" i="2" s="1"/>
  <c r="AE61" i="2"/>
  <c r="AH61" i="2" s="1"/>
  <c r="AE58" i="2"/>
  <c r="AH58" i="2" s="1"/>
  <c r="AE63" i="2"/>
  <c r="AH63" i="2" s="1"/>
  <c r="AE60" i="2"/>
  <c r="AH60" i="2" s="1"/>
  <c r="AE57" i="2"/>
  <c r="AH57" i="2" s="1"/>
  <c r="AE54" i="2"/>
  <c r="AH54" i="2" s="1"/>
  <c r="AE51" i="2"/>
  <c r="AH51" i="2" s="1"/>
  <c r="AE55" i="2"/>
  <c r="AH55" i="2" s="1"/>
  <c r="AE52" i="2"/>
  <c r="AH52" i="2" s="1"/>
  <c r="AD34" i="2"/>
  <c r="AG34" i="2" s="1"/>
  <c r="AD29" i="2"/>
  <c r="AG29" i="2" s="1"/>
  <c r="AD40" i="2"/>
  <c r="AG40" i="2" s="1"/>
  <c r="AD43" i="2"/>
  <c r="AG43" i="2" s="1"/>
  <c r="AD37" i="2"/>
  <c r="AG37" i="2" s="1"/>
  <c r="AD46" i="2"/>
  <c r="AG46" i="2" s="1"/>
  <c r="AD41" i="2"/>
  <c r="AG41" i="2" s="1"/>
  <c r="AD38" i="2"/>
  <c r="AG38" i="2" s="1"/>
  <c r="AD31" i="2"/>
  <c r="AG31" i="2" s="1"/>
  <c r="AD32" i="2"/>
  <c r="AG32" i="2" s="1"/>
  <c r="AD45" i="2"/>
  <c r="AG45" i="2" s="1"/>
  <c r="AD39" i="2"/>
  <c r="AG39" i="2" s="1"/>
  <c r="AD33" i="2"/>
  <c r="AG33" i="2" s="1"/>
  <c r="AD47" i="2"/>
  <c r="AG47" i="2" s="1"/>
  <c r="AD42" i="2"/>
  <c r="AG42" i="2" s="1"/>
  <c r="AD35" i="2"/>
  <c r="AG35" i="2" s="1"/>
  <c r="AD48" i="2"/>
  <c r="AG48" i="2" s="1"/>
  <c r="AD36" i="2"/>
  <c r="AG36" i="2" s="1"/>
  <c r="AD30" i="2"/>
  <c r="AG30" i="2" s="1"/>
  <c r="AD44" i="2"/>
  <c r="AG44" i="2" s="1"/>
  <c r="AF44" i="2"/>
  <c r="AI44" i="2" s="1"/>
  <c r="AF47" i="2"/>
  <c r="AI47" i="2" s="1"/>
  <c r="AF32" i="2"/>
  <c r="AI32" i="2" s="1"/>
  <c r="AF35" i="2"/>
  <c r="AI35" i="2" s="1"/>
  <c r="AF41" i="2"/>
  <c r="AI41" i="2" s="1"/>
  <c r="AF38" i="2"/>
  <c r="AI38" i="2" s="1"/>
  <c r="AF39" i="2"/>
  <c r="AI39" i="2" s="1"/>
  <c r="AF29" i="2"/>
  <c r="AI29" i="2" s="1"/>
  <c r="AF33" i="2"/>
  <c r="AI33" i="2" s="1"/>
  <c r="AF43" i="2"/>
  <c r="AI43" i="2" s="1"/>
  <c r="AF46" i="2"/>
  <c r="AI46" i="2" s="1"/>
  <c r="AF37" i="2"/>
  <c r="AI37" i="2" s="1"/>
  <c r="AF30" i="2"/>
  <c r="AI30" i="2" s="1"/>
  <c r="AF42" i="2"/>
  <c r="AI42" i="2" s="1"/>
  <c r="AF34" i="2"/>
  <c r="AI34" i="2" s="1"/>
  <c r="AF31" i="2"/>
  <c r="AI31" i="2" s="1"/>
  <c r="AF45" i="2"/>
  <c r="AI45" i="2" s="1"/>
  <c r="AF48" i="2"/>
  <c r="AI48" i="2" s="1"/>
  <c r="AF36" i="2"/>
  <c r="AI36" i="2" s="1"/>
  <c r="AF40" i="2"/>
  <c r="AI40" i="2" s="1"/>
  <c r="AE47" i="2"/>
  <c r="AH47" i="2" s="1"/>
  <c r="AE35" i="2"/>
  <c r="AH35" i="2" s="1"/>
  <c r="AE38" i="2"/>
  <c r="AH38" i="2" s="1"/>
  <c r="AE32" i="2"/>
  <c r="AH32" i="2" s="1"/>
  <c r="AE44" i="2"/>
  <c r="AH44" i="2" s="1"/>
  <c r="AE41" i="2"/>
  <c r="AH41" i="2" s="1"/>
  <c r="AE48" i="2"/>
  <c r="AH48" i="2" s="1"/>
  <c r="AE42" i="2"/>
  <c r="AH42" i="2" s="1"/>
  <c r="AE31" i="2"/>
  <c r="AH31" i="2" s="1"/>
  <c r="AE30" i="2"/>
  <c r="AH30" i="2" s="1"/>
  <c r="AE46" i="2"/>
  <c r="AH46" i="2" s="1"/>
  <c r="AE29" i="2"/>
  <c r="AH29" i="2" s="1"/>
  <c r="AE40" i="2"/>
  <c r="AH40" i="2" s="1"/>
  <c r="AE36" i="2"/>
  <c r="AH36" i="2" s="1"/>
  <c r="AE37" i="2"/>
  <c r="AH37" i="2" s="1"/>
  <c r="AE45" i="2"/>
  <c r="AH45" i="2" s="1"/>
  <c r="AE34" i="2"/>
  <c r="AH34" i="2" s="1"/>
  <c r="AE33" i="2"/>
  <c r="AH33" i="2" s="1"/>
  <c r="AE43" i="2"/>
  <c r="AH43" i="2" s="1"/>
  <c r="AE39" i="2"/>
  <c r="AH39" i="2" s="1"/>
  <c r="AF49" i="2"/>
  <c r="AI49" i="2" s="1"/>
  <c r="AF20" i="2"/>
  <c r="AI20" i="2" s="1"/>
  <c r="AF25" i="2"/>
  <c r="AI25" i="2" s="1"/>
  <c r="AF21" i="2"/>
  <c r="AI21" i="2" s="1"/>
  <c r="AF28" i="2"/>
  <c r="AI28" i="2" s="1"/>
  <c r="AF18" i="2"/>
  <c r="AI18" i="2" s="1"/>
  <c r="AF23" i="2"/>
  <c r="AI23" i="2" s="1"/>
  <c r="AF19" i="2"/>
  <c r="AI19" i="2" s="1"/>
  <c r="AF22" i="2"/>
  <c r="AI22" i="2" s="1"/>
  <c r="AF24" i="2"/>
  <c r="AI24" i="2" s="1"/>
  <c r="AF26" i="2"/>
  <c r="AI26" i="2" s="1"/>
  <c r="AF27" i="2"/>
  <c r="AI27" i="2" s="1"/>
  <c r="AF16" i="2"/>
  <c r="AI16" i="2" s="1"/>
  <c r="AF17" i="2"/>
  <c r="AI17" i="2" s="1"/>
  <c r="AE24" i="2"/>
  <c r="AH24" i="2" s="1"/>
  <c r="AE25" i="2"/>
  <c r="AH25" i="2" s="1"/>
  <c r="AE26" i="2"/>
  <c r="AH26" i="2" s="1"/>
  <c r="AE49" i="2"/>
  <c r="AH49" i="2" s="1"/>
  <c r="AE21" i="2"/>
  <c r="AH21" i="2" s="1"/>
  <c r="AE16" i="2"/>
  <c r="AH16" i="2" s="1"/>
  <c r="AE17" i="2"/>
  <c r="AH17" i="2" s="1"/>
  <c r="AE18" i="2"/>
  <c r="AH18" i="2" s="1"/>
  <c r="AE28" i="2"/>
  <c r="AH28" i="2" s="1"/>
  <c r="AE20" i="2"/>
  <c r="AH20" i="2" s="1"/>
  <c r="AE23" i="2"/>
  <c r="AH23" i="2" s="1"/>
  <c r="AE19" i="2"/>
  <c r="AH19" i="2" s="1"/>
  <c r="AE27" i="2"/>
  <c r="AH27" i="2" s="1"/>
  <c r="AE22" i="2"/>
  <c r="AH22" i="2" s="1"/>
  <c r="AD17" i="2"/>
  <c r="AG17" i="2" s="1"/>
  <c r="AD26" i="2"/>
  <c r="AG26" i="2" s="1"/>
  <c r="AD21" i="2"/>
  <c r="AG21" i="2" s="1"/>
  <c r="AD27" i="2"/>
  <c r="AG27" i="2" s="1"/>
  <c r="AD18" i="2"/>
  <c r="AG18" i="2" s="1"/>
  <c r="AD19" i="2"/>
  <c r="AG19" i="2" s="1"/>
  <c r="AD49" i="2"/>
  <c r="AG49" i="2" s="1"/>
  <c r="AD22" i="2"/>
  <c r="AG22" i="2" s="1"/>
  <c r="AD25" i="2"/>
  <c r="AG25" i="2" s="1"/>
  <c r="AD28" i="2"/>
  <c r="AG28" i="2" s="1"/>
  <c r="AD23" i="2"/>
  <c r="AG23" i="2" s="1"/>
  <c r="AD20" i="2"/>
  <c r="AG20" i="2" s="1"/>
  <c r="AD24" i="2"/>
  <c r="AG24" i="2" s="1"/>
  <c r="AD16" i="2"/>
  <c r="AG16" i="2" s="1"/>
  <c r="AE15" i="2"/>
  <c r="AH15" i="2" s="1"/>
  <c r="AF15" i="2"/>
  <c r="AI15" i="2" s="1"/>
  <c r="AD15" i="2"/>
  <c r="AG15" i="2" s="1"/>
  <c r="AJ64" i="2" l="1"/>
  <c r="AK64" i="2" s="1"/>
  <c r="J64" i="2" s="1"/>
  <c r="AJ57" i="2"/>
  <c r="AK57" i="2" s="1"/>
  <c r="J57" i="2" s="1"/>
  <c r="AJ60" i="2"/>
  <c r="AK60" i="2" s="1"/>
  <c r="J60" i="2" s="1"/>
  <c r="AJ50" i="2"/>
  <c r="AK50" i="2" s="1"/>
  <c r="J50" i="2" s="1"/>
  <c r="AJ53" i="2"/>
  <c r="AK53" i="2" s="1"/>
  <c r="J53" i="2" s="1"/>
  <c r="AJ55" i="2"/>
  <c r="AK55" i="2" s="1"/>
  <c r="J55" i="2" s="1"/>
  <c r="AJ56" i="2"/>
  <c r="AK56" i="2" s="1"/>
  <c r="J56" i="2" s="1"/>
  <c r="AJ52" i="2"/>
  <c r="AK52" i="2" s="1"/>
  <c r="J52" i="2" s="1"/>
  <c r="AJ51" i="2"/>
  <c r="AK51" i="2" s="1"/>
  <c r="J51" i="2" s="1"/>
  <c r="AJ58" i="2"/>
  <c r="AK58" i="2" s="1"/>
  <c r="J58" i="2" s="1"/>
  <c r="AJ59" i="2"/>
  <c r="AK59" i="2" s="1"/>
  <c r="J59" i="2" s="1"/>
  <c r="AJ63" i="2"/>
  <c r="AK63" i="2" s="1"/>
  <c r="J63" i="2" s="1"/>
  <c r="AJ54" i="2"/>
  <c r="AK54" i="2" s="1"/>
  <c r="J54" i="2" s="1"/>
  <c r="AJ61" i="2"/>
  <c r="AK61" i="2" s="1"/>
  <c r="J61" i="2" s="1"/>
  <c r="AJ62" i="2"/>
  <c r="AK62" i="2" s="1"/>
  <c r="J62" i="2" s="1"/>
  <c r="AJ35" i="2"/>
  <c r="AK35" i="2" s="1"/>
  <c r="AJ45" i="2"/>
  <c r="AK45" i="2" s="1"/>
  <c r="AJ37" i="2"/>
  <c r="AK37" i="2" s="1"/>
  <c r="AJ31" i="2"/>
  <c r="AK31" i="2" s="1"/>
  <c r="AJ42" i="2"/>
  <c r="AK42" i="2" s="1"/>
  <c r="AJ40" i="2"/>
  <c r="AK40" i="2" s="1"/>
  <c r="AJ44" i="2"/>
  <c r="AK44" i="2" s="1"/>
  <c r="AJ47" i="2"/>
  <c r="AK47" i="2" s="1"/>
  <c r="AJ38" i="2"/>
  <c r="AK38" i="2" s="1"/>
  <c r="AJ36" i="2"/>
  <c r="AK36" i="2" s="1"/>
  <c r="AJ39" i="2"/>
  <c r="AK39" i="2" s="1"/>
  <c r="AJ46" i="2"/>
  <c r="AK46" i="2" s="1"/>
  <c r="AJ29" i="2"/>
  <c r="AK29" i="2" s="1"/>
  <c r="AJ48" i="2"/>
  <c r="AK48" i="2" s="1"/>
  <c r="AJ32" i="2"/>
  <c r="AK32" i="2" s="1"/>
  <c r="AJ43" i="2"/>
  <c r="AK43" i="2" s="1"/>
  <c r="AJ30" i="2"/>
  <c r="AK30" i="2" s="1"/>
  <c r="AJ33" i="2"/>
  <c r="AK33" i="2" s="1"/>
  <c r="AJ41" i="2"/>
  <c r="AK41" i="2" s="1"/>
  <c r="AJ34" i="2"/>
  <c r="AK34" i="2" s="1"/>
  <c r="AJ26" i="2"/>
  <c r="AK26" i="2" s="1"/>
  <c r="AJ49" i="2"/>
  <c r="AK49" i="2" s="1"/>
  <c r="AJ28" i="2"/>
  <c r="AK28" i="2" s="1"/>
  <c r="AJ15" i="2"/>
  <c r="AJ24" i="2"/>
  <c r="AK24" i="2" s="1"/>
  <c r="AJ25" i="2"/>
  <c r="AK25" i="2" s="1"/>
  <c r="AJ20" i="2"/>
  <c r="AK20" i="2" s="1"/>
  <c r="AJ21" i="2"/>
  <c r="AK21" i="2" s="1"/>
  <c r="AJ17" i="2"/>
  <c r="AK17" i="2" s="1"/>
  <c r="AJ19" i="2"/>
  <c r="AK19" i="2" s="1"/>
  <c r="AJ27" i="2"/>
  <c r="AK27" i="2" s="1"/>
  <c r="AJ16" i="2"/>
  <c r="AK16" i="2" s="1"/>
  <c r="AJ23" i="2"/>
  <c r="AK23" i="2" s="1"/>
  <c r="AJ22" i="2"/>
  <c r="AK22" i="2" s="1"/>
  <c r="AJ18" i="2"/>
  <c r="AK18" i="2" s="1"/>
  <c r="J17" i="2" l="1"/>
  <c r="J27" i="2"/>
  <c r="J24" i="2"/>
  <c r="J41" i="2"/>
  <c r="J29" i="2"/>
  <c r="J44" i="2"/>
  <c r="J35" i="2"/>
  <c r="J19" i="2"/>
  <c r="J33" i="2"/>
  <c r="J46" i="2"/>
  <c r="J40" i="2"/>
  <c r="J18" i="2"/>
  <c r="J30" i="2"/>
  <c r="J42" i="2"/>
  <c r="J49" i="2"/>
  <c r="J36" i="2"/>
  <c r="J23" i="2"/>
  <c r="J20" i="2"/>
  <c r="J26" i="2"/>
  <c r="J32" i="2"/>
  <c r="J38" i="2"/>
  <c r="J37" i="2"/>
  <c r="J28" i="2"/>
  <c r="J39" i="2"/>
  <c r="J22" i="2"/>
  <c r="J21" i="2"/>
  <c r="J43" i="2"/>
  <c r="J31" i="2"/>
  <c r="J16" i="2"/>
  <c r="J25" i="2"/>
  <c r="J34" i="2"/>
  <c r="J48" i="2"/>
  <c r="J47" i="2"/>
  <c r="J45" i="2"/>
  <c r="AK15" i="2"/>
  <c r="J15" i="2" s="1"/>
  <c r="J66" i="2" l="1"/>
  <c r="C14" i="12"/>
  <c r="F13" i="12" s="1"/>
  <c r="C10" i="12" s="1"/>
  <c r="E14" i="12" l="1"/>
  <c r="C45" i="12"/>
  <c r="C43" i="12" s="1"/>
  <c r="E10" i="12" l="1"/>
  <c r="E18" i="12" s="1"/>
  <c r="E43" i="12" s="1"/>
  <c r="E34" i="14"/>
  <c r="E7" i="12"/>
  <c r="E20" i="12" s="1"/>
  <c r="E45" i="12" s="1"/>
  <c r="E6" i="12"/>
  <c r="E19" i="12" s="1"/>
  <c r="E44" i="12" s="1"/>
  <c r="E38" i="14" s="1"/>
  <c r="E39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Argast</author>
  </authors>
  <commentList>
    <comment ref="A6" authorId="0" shapeId="0" xr:uid="{6CD61050-96A4-4FAB-9E76-DA5728A1F4C0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Wenn Sie nicht immer anwesend sind und die Heizung reduziert wird (Heizmonate) . 
Wie viel % sind Sie dann anwesend?</t>
        </r>
      </text>
    </comment>
    <comment ref="C6" authorId="0" shapeId="0" xr:uid="{4B23CFAA-E3F4-42EC-BC9A-7E7018437CB9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Um wie viel senken Sie dann die Temperatur ab?</t>
        </r>
      </text>
    </comment>
    <comment ref="A8" authorId="0" shapeId="0" xr:uid="{FB882E51-FAC3-479E-BB46-BEF4ED04AF85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Für einenen Zeilenumbruch:
Tasten Alt und Enter drücken</t>
        </r>
      </text>
    </comment>
    <comment ref="A24" authorId="0" shapeId="0" xr:uid="{DF09FB6B-3629-428F-BF90-60B02B49E99A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Wählen Sie die gewünschte Berechnungsmethode aus.</t>
        </r>
      </text>
    </comment>
    <comment ref="A29" authorId="0" shapeId="0" xr:uid="{A16C86A7-BF5D-40D6-9AA5-6614765245FB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Wird der Anschluss für 2 Parzellen erstellt. 
Gemeinsamer Anschluss
Diese Felder ausfüllen</t>
        </r>
      </text>
    </comment>
    <comment ref="A32" authorId="0" shapeId="0" xr:uid="{FCCE3493-F087-4573-B400-AC7B1DFFF074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Wenn Sie nicht immer anwesend sind und die Heizung reduziert wird (Heizmonate) . 
Wie viel % sind Sie dann anwesend?</t>
        </r>
      </text>
    </comment>
    <comment ref="E32" authorId="0" shapeId="0" xr:uid="{3B946836-86FC-4B32-A129-566070272C6B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Um wie viel senken Sie dann die Temperatur ab?</t>
        </r>
      </text>
    </comment>
    <comment ref="E33" authorId="0" shapeId="0" xr:uid="{F1380770-0830-448B-A508-0D0344F77DD6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Anteil am Gesamtanschluss in Prozent
Gesamtanschluss = 100%
Beispiel:
2. Kunde = 25% -&gt; 1. Kunde hat 75%</t>
        </r>
      </text>
    </comment>
    <comment ref="A35" authorId="0" shapeId="0" xr:uid="{BADE7370-5666-4743-9F90-003BAE4D369D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Für einenen Zeilenumbruch:
Tasten Alt und Enter drücken</t>
        </r>
      </text>
    </comment>
    <comment ref="A44" authorId="0" shapeId="0" xr:uid="{EDF50857-4A32-464E-A140-2020A60E6D4D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Diesen Wert nur verändern, wenn das Messamt andere Werte liefert über 3 Jahre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Argast</author>
  </authors>
  <commentList>
    <comment ref="A29" authorId="0" shapeId="0" xr:uid="{137290E5-92C5-455A-BEA3-36BBF5DD8358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Für einenen Zeilenumbruch:
Tasten Alt und Enter drücken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Argast</author>
  </authors>
  <commentList>
    <comment ref="A29" authorId="0" shapeId="0" xr:uid="{442672AD-F7C8-482E-923E-A50805FD7BA5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Für einenen Zeilenumbruch:
Tasten Alt und Enter drücken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Argast</author>
  </authors>
  <commentList>
    <comment ref="A7" authorId="0" shapeId="0" xr:uid="{13F6AEDA-92A8-4DA2-9EBF-F74F920EDF70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Für Laufenburg: Normal</t>
        </r>
      </text>
    </comment>
    <comment ref="A8" authorId="0" shapeId="0" xr:uid="{961F20CE-86E0-423C-8536-E99C49583439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Für Laufenburg: Windschwach</t>
        </r>
      </text>
    </comment>
    <comment ref="A9" authorId="0" shapeId="0" xr:uid="{CCA91077-73C0-4690-BCD9-B7278CEDA533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Für Laufenburg: -8°C
Das heisst &lt;10°C</t>
        </r>
      </text>
    </comment>
    <comment ref="A13" authorId="0" shapeId="0" xr:uid="{E8E50A15-20FB-4C0C-A72E-4439B37B24F1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Geben Sie dem Raum einen Namen</t>
        </r>
      </text>
    </comment>
    <comment ref="B13" authorId="0" shapeId="0" xr:uid="{DAB2CCEC-219D-4861-9640-65259CF54E59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Die gesamte Fläche des Raums</t>
        </r>
      </text>
    </comment>
    <comment ref="C13" authorId="0" shapeId="0" xr:uid="{E71191AE-1156-4AF6-9F12-02C5BBD47D3A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Die Höhe des Raums. 
Bei unterschiedlichen Höhen nehmen Sie einen Mittelwert</t>
        </r>
      </text>
    </comment>
    <comment ref="D13" authorId="0" shapeId="0" xr:uid="{F6ED4AA5-6DD8-4198-B63C-FC5820267E1A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Anzahl Fenster bedeutet Anzahl Heizkörper. Ein Gang ohne Fenster der beheizt werden muss braucht einen Heizkörper</t>
        </r>
      </text>
    </comment>
    <comment ref="E13" authorId="0" shapeId="0" xr:uid="{E18F4FD0-AAC8-4122-BBDC-663DE8388AA1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Als Aussenwände gelten:
• eine Aussenwand
• eine an einen unbeheizten Raum grenzende Innenwand
• eine Dachfläche
• eine an Erdreich grenzende Fläche (Fussboden, Wand)
</t>
        </r>
      </text>
    </comment>
    <comment ref="F13" authorId="0" shapeId="0" xr:uid="{7F5162FF-F02B-4D95-BEF7-908C3E7BC0BD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Wie sind die Fenster verglast in diesem Raum</t>
        </r>
      </text>
    </comment>
    <comment ref="G13" authorId="0" shapeId="0" xr:uid="{F0758647-DF83-428D-BC1D-77900158B43D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Prozentualer Anteil der Fensterfläche im Verhältnis zur Aussenwandfläche.
</t>
        </r>
      </text>
    </comment>
    <comment ref="H13" authorId="0" shapeId="0" xr:uid="{93020EF1-8438-4B69-BCAF-002172434D96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Ihre Raumtemperatur, die Sie in diesem Raum haben wollen</t>
        </r>
      </text>
    </comment>
    <comment ref="I13" authorId="0" shapeId="0" xr:uid="{C744F267-17B6-4D3B-89AA-8B7125AB28E2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Wie ist dieser Raum gegen Aussen gedämmt:
Altsadthaus (dicke Mauern): teilweise Wärmegedämmt 
Innenräume ohne Aussenwände: leer lassen</t>
        </r>
      </text>
    </comment>
    <comment ref="J13" authorId="0" shapeId="0" xr:uid="{5DED273A-6C85-4F4C-84C9-21124349CCA1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HEA-Kurzverfahren in Anlehnung an die DIN 4701/83. Gültig für die überschlägige Bestimmung des Wärmebedarfs von Einzelräumen und von Gebäuden. Dieses Verfahren ersetzt nicht die genaue Berechnung des Wärmebedarfs nach DIN 4701.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Argast</author>
  </authors>
  <commentList>
    <comment ref="A10" authorId="0" shapeId="0" xr:uid="{39CC380F-E4CB-4454-8216-78576BE40F05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Berechnet für einen 4 Personenhaushalt 
mit 3047 Heizgradtagen Region Laufenburg
Richtet sich stark nach dem Benutzerverhalten</t>
        </r>
      </text>
    </comment>
    <comment ref="C11" authorId="0" shapeId="0" xr:uid="{E4C801C5-EF06-4D6A-9D67-0D5CEF72B47C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Berechnet mit Absenkung wenn vorhanden</t>
        </r>
      </text>
    </comment>
    <comment ref="A12" authorId="0" shapeId="0" xr:uid="{510FA453-4109-49FE-8496-183D945C8661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Sollte die Berechnung für Sie nicht zutreffen, so können Sie hier Ihren eigenen Wert eingeben. Der errechnete Wert wird nicht mehr berücksichtigt.</t>
        </r>
      </text>
    </comment>
    <comment ref="C14" authorId="0" shapeId="0" xr:uid="{1FD57475-5923-45B9-89D7-CD3693DA6DD1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Berechnet mit Absenkung wenn vorhanden</t>
        </r>
      </text>
    </comment>
    <comment ref="A15" authorId="0" shapeId="0" xr:uid="{6924889B-5253-4342-BAF9-4066BD316F46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Sollte die Berechnung für Sie nicht zutreffen, so können Sie hier Ihren eigenen Wert eingeben.  Der errechnete Wert wird nicht mehr berücksichtigt.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Argast</author>
  </authors>
  <commentList>
    <comment ref="A11" authorId="0" shapeId="0" xr:uid="{75A7F30F-FA51-477D-8FC4-D9EEB224C921}">
      <text>
        <r>
          <rPr>
            <b/>
            <sz val="9"/>
            <color indexed="81"/>
            <rFont val="Segoe UI"/>
            <family val="2"/>
          </rPr>
          <t>Thomas Argast:</t>
        </r>
        <r>
          <rPr>
            <sz val="9"/>
            <color indexed="81"/>
            <rFont val="Segoe UI"/>
            <family val="2"/>
          </rPr>
          <t xml:space="preserve">
Für einenen Zeilenumbruch:
Tasten Alt und Enter drücken</t>
        </r>
      </text>
    </comment>
  </commentList>
</comments>
</file>

<file path=xl/sharedStrings.xml><?xml version="1.0" encoding="utf-8"?>
<sst xmlns="http://schemas.openxmlformats.org/spreadsheetml/2006/main" count="396" uniqueCount="263">
  <si>
    <t>Installation Heizkörper</t>
  </si>
  <si>
    <t>8 kW Heizleistung x 1.200 h/a = 9.600 kWh/a durch 150 m² Wohnfläche = 64 kWh/m²a</t>
  </si>
  <si>
    <t>https://www.waermebedarfsrechner.info/</t>
  </si>
  <si>
    <t>Anzahl Fenster, Heizkörper</t>
  </si>
  <si>
    <t>Fläche</t>
  </si>
  <si>
    <t>(m2)</t>
  </si>
  <si>
    <t>Höhe</t>
  </si>
  <si>
    <t>(m)</t>
  </si>
  <si>
    <t>(Stk)</t>
  </si>
  <si>
    <t>Gebäude</t>
  </si>
  <si>
    <t>Art</t>
  </si>
  <si>
    <t>Mehrfamilienhaus</t>
  </si>
  <si>
    <t>Baujahr</t>
  </si>
  <si>
    <t>bis 1960</t>
  </si>
  <si>
    <t>1960-1977</t>
  </si>
  <si>
    <t>ab 1978</t>
  </si>
  <si>
    <t>Lage des Gebäudes</t>
  </si>
  <si>
    <t>Windlage des Gebäudes</t>
  </si>
  <si>
    <t>Tiefste Aussentemperatur</t>
  </si>
  <si>
    <t>Zimmer, Räume</t>
  </si>
  <si>
    <t>Bezeichnung</t>
  </si>
  <si>
    <t>Auswahl</t>
  </si>
  <si>
    <t>oben und unten nicht beheizt</t>
  </si>
  <si>
    <t>oben oder unten nicht beheizt</t>
  </si>
  <si>
    <t>oben und unten beheizt</t>
  </si>
  <si>
    <t>3-4</t>
  </si>
  <si>
    <t>2</t>
  </si>
  <si>
    <t>1</t>
  </si>
  <si>
    <t>einfach verglast</t>
  </si>
  <si>
    <t>doppelt verglast</t>
  </si>
  <si>
    <t>isolier verglast</t>
  </si>
  <si>
    <t>+22 °C</t>
  </si>
  <si>
    <t>+15 °C</t>
  </si>
  <si>
    <t>+20 °C</t>
  </si>
  <si>
    <t>Anzahl Aussenwände</t>
  </si>
  <si>
    <t>Fenster Verglassung</t>
  </si>
  <si>
    <t>Berechneter Wärmebedarf</t>
  </si>
  <si>
    <t>nicht wärmegedämmt</t>
  </si>
  <si>
    <t>teilweise wärmegedämmt</t>
  </si>
  <si>
    <t>erhöht wärmegedämmt</t>
  </si>
  <si>
    <t>Wärmedämmung</t>
  </si>
  <si>
    <t>Verglaste Fläche</t>
  </si>
  <si>
    <t>0</t>
  </si>
  <si>
    <t>Raum Temperatur</t>
  </si>
  <si>
    <t>Ölheizung</t>
  </si>
  <si>
    <t>Gasheizung</t>
  </si>
  <si>
    <t>Holzheizung</t>
  </si>
  <si>
    <t>Elektroheizung Zentralspeicher</t>
  </si>
  <si>
    <t>Elektroheizung Einzelspeicher</t>
  </si>
  <si>
    <t>Reiheinfamilienhaus</t>
  </si>
  <si>
    <t>Installation mehrere Heizkörper Raum</t>
  </si>
  <si>
    <t>Version</t>
  </si>
  <si>
    <t xml:space="preserve">zwischen -10°C und -16 °C </t>
  </si>
  <si>
    <t xml:space="preserve">zwischen -16°C und -20 °C </t>
  </si>
  <si>
    <t>Rückbau Heizung</t>
  </si>
  <si>
    <t>Rückbau Einzelspeicher</t>
  </si>
  <si>
    <t>Genauigkeit</t>
  </si>
  <si>
    <t>Die Wärmeberechnungen werden nach dem Kurzverfahren HEA in Anlehnung an die DIN 4701/83 bestimmt</t>
  </si>
  <si>
    <t>Wärmepumpe</t>
  </si>
  <si>
    <t>Total, Mittelwerte</t>
  </si>
  <si>
    <t>(kW)</t>
  </si>
  <si>
    <t>Warmwasser</t>
  </si>
  <si>
    <t>Ja</t>
  </si>
  <si>
    <t>Nein</t>
  </si>
  <si>
    <t>Faktoren</t>
  </si>
  <si>
    <t>Freistehend</t>
  </si>
  <si>
    <t>Normal</t>
  </si>
  <si>
    <t>Windstark</t>
  </si>
  <si>
    <t>Windschwach</t>
  </si>
  <si>
    <t>% Anwesend, Bewohnt</t>
  </si>
  <si>
    <t>Absenkung in °C</t>
  </si>
  <si>
    <t>Altstadthaus</t>
  </si>
  <si>
    <t>10-20%</t>
  </si>
  <si>
    <t>&lt; -10°C</t>
  </si>
  <si>
    <t>Kein Fenster</t>
  </si>
  <si>
    <t>Anzahl Stockwerke</t>
  </si>
  <si>
    <t>-10°C</t>
  </si>
  <si>
    <t>&gt; 20%</t>
  </si>
  <si>
    <t>&lt; 10%</t>
  </si>
  <si>
    <t>Bemerkung</t>
  </si>
  <si>
    <t>Min(kW)</t>
  </si>
  <si>
    <t>Max(kW)</t>
  </si>
  <si>
    <t>Min(CHF)</t>
  </si>
  <si>
    <t>Max(CHF)</t>
  </si>
  <si>
    <t>Energiepreis</t>
  </si>
  <si>
    <t>Installation Wärmetauscher &lt; kW</t>
  </si>
  <si>
    <t>Installation Wärmetauscher  CHF</t>
  </si>
  <si>
    <t>Benutzungsdauer h/Jahr über HGT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</si>
  <si>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</si>
  <si>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</si>
  <si>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</si>
  <si>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</si>
  <si>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</si>
  <si>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</si>
  <si>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</si>
  <si>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</si>
  <si>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</si>
  <si>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</si>
  <si>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</si>
  <si>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</si>
  <si>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</si>
  <si>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</si>
  <si>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</si>
  <si>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</si>
  <si>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</si>
  <si>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</si>
  <si>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</si>
  <si>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</si>
  <si>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AIE$75321</t>
  </si>
  <si>
    <t>R15</t>
  </si>
  <si>
    <t>&gt;=3</t>
  </si>
  <si>
    <t>Kosten Wärmetauscher</t>
  </si>
  <si>
    <t>Beitrag Hausstation</t>
  </si>
  <si>
    <t>CHF</t>
  </si>
  <si>
    <t>bis kW</t>
  </si>
  <si>
    <t>Amortisationsdauer (Jahre)</t>
  </si>
  <si>
    <t>Lebensdauer der Hausstation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</si>
  <si>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</si>
  <si>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</si>
  <si>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</si>
  <si>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</si>
  <si>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</si>
  <si>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</si>
  <si>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</si>
  <si>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</si>
  <si>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</si>
  <si>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</si>
  <si>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</si>
  <si>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</si>
  <si>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</si>
  <si>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</si>
  <si>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Aktuell</t>
  </si>
  <si>
    <t>Anpassung Stadtrat</t>
  </si>
  <si>
    <t>kWh</t>
  </si>
  <si>
    <t>akt</t>
  </si>
  <si>
    <t>Min</t>
  </si>
  <si>
    <t>Max</t>
  </si>
  <si>
    <t>MWh</t>
  </si>
  <si>
    <t>Min(kWh)</t>
  </si>
  <si>
    <t>Max(kWh)</t>
  </si>
  <si>
    <t>Min(m)</t>
  </si>
  <si>
    <t>Max(m)</t>
  </si>
  <si>
    <t>Berechnung der Tarife und Gebühren im Wärmeverbund Laufenburg</t>
  </si>
  <si>
    <t>Berechnungsmethode</t>
  </si>
  <si>
    <t>Benötigte Anschlussleistung (kW)</t>
  </si>
  <si>
    <t>Bisheriger Ölverbrauch (Liter)</t>
  </si>
  <si>
    <t>Berechnungen des Wärmebedarfs nach HAE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</si>
  <si>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</si>
  <si>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</si>
  <si>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</si>
  <si>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</si>
  <si>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</si>
  <si>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</si>
  <si>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</si>
  <si>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</si>
  <si>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</si>
  <si>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</si>
  <si>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</si>
  <si>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</si>
  <si>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</si>
  <si>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</si>
  <si>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R50</t>
  </si>
  <si>
    <t>Strasse, Hausnummer</t>
  </si>
  <si>
    <t>Parzelle</t>
  </si>
  <si>
    <t>Objekt 2</t>
  </si>
  <si>
    <t>Eigentümer Adresse 2</t>
  </si>
  <si>
    <t>Anteil am Anschluss (%)</t>
  </si>
  <si>
    <t>Bei einer Aufteilung eines Anschlusses auf zwei Parzellen bitte 2. Kunde erfassen</t>
  </si>
  <si>
    <t>kW</t>
  </si>
  <si>
    <t>m</t>
  </si>
  <si>
    <t>Total (CHF)</t>
  </si>
  <si>
    <t>Eigentümer 1</t>
  </si>
  <si>
    <t>Eigentümer 2</t>
  </si>
  <si>
    <t>Grundpreis (CHF)</t>
  </si>
  <si>
    <t>Berechnete benötigte Energie ca.</t>
  </si>
  <si>
    <t>- Induviduelle Anpassung der Energie</t>
  </si>
  <si>
    <t>Energiepreis (CHF)</t>
  </si>
  <si>
    <t>Total Heizkosten pro Jahr</t>
  </si>
  <si>
    <t>Anschlusskosten (CHF)</t>
  </si>
  <si>
    <t>Hausstation (CHF)</t>
  </si>
  <si>
    <t>Anschlussbeitrag einmalig</t>
  </si>
  <si>
    <t>Total Preis pro kWh</t>
  </si>
  <si>
    <t>Überlängen Zuschlag (&gt;20m)</t>
  </si>
  <si>
    <t>Pro Meter (CHF)</t>
  </si>
  <si>
    <t>Länge (m)</t>
  </si>
  <si>
    <t>Berechnung der Investition</t>
  </si>
  <si>
    <t>Total Anschluss, Hausstation, Überlange inkl. IBS</t>
  </si>
  <si>
    <t>Mögliche Subventionen 2025</t>
  </si>
  <si>
    <t>Total Installationskosten - Subventionen</t>
  </si>
  <si>
    <t>Total Anschluss, Hausstation, Überlänge inkl. IBS</t>
  </si>
  <si>
    <t>Total Kosten pro kWh inkl. Installation, Subvention und Amortisationsdauer</t>
  </si>
  <si>
    <t>Akontozahlung bei Realisierungsbeginn</t>
  </si>
  <si>
    <t>Total nötige sekundäre Installationen. Offerte Instalateur</t>
  </si>
  <si>
    <t>Grundpreis</t>
  </si>
  <si>
    <t>Anschlusskosten</t>
  </si>
  <si>
    <t>Anteil Hausstation</t>
  </si>
  <si>
    <t>Überlänge</t>
  </si>
  <si>
    <t>Berechnen über Gebäudestruktur</t>
  </si>
  <si>
    <t>Mittlere Heizgradtage in Laufenburg (HGT)</t>
  </si>
  <si>
    <t>Benötige Anschlussleistung (Jährliche Grundgebühr)</t>
  </si>
  <si>
    <t>Total Kosten pro kWh, Betrieb und Installation</t>
  </si>
  <si>
    <t>Eigentümer Adresse 1</t>
  </si>
  <si>
    <t>eff. MWh</t>
  </si>
  <si>
    <t>2025.06.07</t>
  </si>
  <si>
    <t>Kontaktdaten Adresse 1</t>
  </si>
  <si>
    <t>Telefon:</t>
  </si>
  <si>
    <t>E-Mail 1:</t>
  </si>
  <si>
    <t>Mobile 1:</t>
  </si>
  <si>
    <t>E-Mail 2:</t>
  </si>
  <si>
    <t>Mobile 2:</t>
  </si>
  <si>
    <t>Kontaktdaten Adresse 2</t>
  </si>
  <si>
    <t>Objektdaten im Wärmeverbund Laufenburg</t>
  </si>
  <si>
    <t>Objekt 1</t>
  </si>
  <si>
    <t>Einfamilienhaus</t>
  </si>
  <si>
    <t>Neubau</t>
  </si>
  <si>
    <t>Hausart</t>
  </si>
  <si>
    <t>Nutzung</t>
  </si>
  <si>
    <t>Wohnen</t>
  </si>
  <si>
    <t>Gewerbe</t>
  </si>
  <si>
    <t>Hotel</t>
  </si>
  <si>
    <t>Gastgewerbe</t>
  </si>
  <si>
    <t>Industrie</t>
  </si>
  <si>
    <t>Bestehende Heizung</t>
  </si>
  <si>
    <t>Heizung</t>
  </si>
  <si>
    <t>Elektro</t>
  </si>
  <si>
    <t>Heizung, Elektro</t>
  </si>
  <si>
    <t>Boiler Volumen (l)</t>
  </si>
  <si>
    <t>Erneuerbare Energie</t>
  </si>
  <si>
    <t>Anzahl Bewohner</t>
  </si>
  <si>
    <t>Beheizte Fläche</t>
  </si>
  <si>
    <t>Kamin kondensierend</t>
  </si>
  <si>
    <t>Leistung (kW)</t>
  </si>
  <si>
    <t>Energiesparmassnahmen</t>
  </si>
  <si>
    <t>Jahr</t>
  </si>
  <si>
    <t>Was</t>
  </si>
  <si>
    <t>Verwaltung Objekt 1</t>
  </si>
  <si>
    <t>Wärmezähler Serienummer</t>
  </si>
  <si>
    <t>Elektrozähler Serienummer</t>
  </si>
  <si>
    <t>Wasserzähler Serienummer</t>
  </si>
  <si>
    <t>Installateur</t>
  </si>
  <si>
    <t>Kontaktdaten Instalateur</t>
  </si>
  <si>
    <t>Kontaktdaten Bauleiter</t>
  </si>
  <si>
    <t>Objekt Installation im Wärmeverbund Laufenburg</t>
  </si>
  <si>
    <t>Checkpunkte</t>
  </si>
  <si>
    <t>Vertrag unterzeichnet</t>
  </si>
  <si>
    <t>Akonto geleistet</t>
  </si>
  <si>
    <t>Realisierbarkeit ermittelt</t>
  </si>
  <si>
    <t>Subventionsgutsprache eingetroffen</t>
  </si>
  <si>
    <t>Offerte Fahner erstellt</t>
  </si>
  <si>
    <t>Offerte Installateur erstellt</t>
  </si>
  <si>
    <t>Hausstation abgerufen</t>
  </si>
  <si>
    <t>Planer QS Ausführung</t>
  </si>
  <si>
    <t>Installationstermin</t>
  </si>
  <si>
    <t>IBN Termin</t>
  </si>
  <si>
    <t>Skizze, Plan Anschlüsse erstellt</t>
  </si>
  <si>
    <t>Installation Primär beendet</t>
  </si>
  <si>
    <t>Installation Sekundär beendet</t>
  </si>
  <si>
    <t>Elektroinstallation erstellt</t>
  </si>
  <si>
    <t>Zähler erfasst</t>
  </si>
  <si>
    <t>IBN abgeschlossen</t>
  </si>
  <si>
    <t>Abnahme erfolgt</t>
  </si>
  <si>
    <t>Übergabe an Kunde</t>
  </si>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</sst>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0.000"/>
    <numFmt numFmtId="167" formatCode="#,##0.000"/>
    <numFmt numFmtId="168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5">
    <xf numFmtId="0" fontId="0" fillId="0" borderId="0" xfId="0"/>
    <xf numFmtId="0" fontId="4" fillId="0" borderId="0" xfId="1"/>
    <xf numFmtId="0" fontId="5" fillId="0" borderId="0" xfId="0" applyFont="1"/>
    <xf numFmtId="16" fontId="0" fillId="0" borderId="0" xfId="0" quotePrefix="1" applyNumberFormat="1"/>
    <xf numFmtId="0" fontId="0" fillId="0" borderId="0" xfId="0" quotePrefix="1"/>
    <xf numFmtId="0" fontId="0" fillId="0" borderId="1" xfId="0" applyBorder="1"/>
    <xf numFmtId="0" fontId="1" fillId="0" borderId="1" xfId="0" applyFont="1" applyBorder="1"/>
    <xf numFmtId="164" fontId="0" fillId="0" borderId="0" xfId="0" quotePrefix="1" applyNumberFormat="1"/>
    <xf numFmtId="0" fontId="0" fillId="0" borderId="0" xfId="0" applyAlignment="1">
      <alignment horizontal="right"/>
    </xf>
    <xf numFmtId="3" fontId="0" fillId="0" borderId="0" xfId="0" applyNumberFormat="1"/>
    <xf numFmtId="164" fontId="0" fillId="2" borderId="1" xfId="0" applyNumberFormat="1" applyFill="1" applyBorder="1" applyAlignment="1" applyProtection="1">
      <alignment horizontal="left" vertical="center"/>
      <protection locked="0"/>
    </xf>
    <xf numFmtId="9" fontId="0" fillId="0" borderId="0" xfId="0" quotePrefix="1" applyNumberFormat="1"/>
    <xf numFmtId="4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left" vertical="center"/>
      <protection locked="0"/>
    </xf>
    <xf numFmtId="9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right"/>
    </xf>
    <xf numFmtId="0" fontId="10" fillId="0" borderId="0" xfId="0" applyFont="1"/>
    <xf numFmtId="0" fontId="11" fillId="0" borderId="0" xfId="0" applyFont="1"/>
    <xf numFmtId="0" fontId="14" fillId="0" borderId="1" xfId="0" applyFont="1" applyBorder="1"/>
    <xf numFmtId="0" fontId="16" fillId="2" borderId="1" xfId="0" applyFont="1" applyFill="1" applyBorder="1" applyProtection="1">
      <protection locked="0"/>
    </xf>
    <xf numFmtId="164" fontId="16" fillId="2" borderId="1" xfId="0" applyNumberFormat="1" applyFont="1" applyFill="1" applyBorder="1" applyProtection="1">
      <protection locked="0"/>
    </xf>
    <xf numFmtId="1" fontId="16" fillId="2" borderId="1" xfId="0" applyNumberFormat="1" applyFont="1" applyFill="1" applyBorder="1" applyProtection="1"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168" fontId="0" fillId="2" borderId="1" xfId="0" applyNumberFormat="1" applyFill="1" applyBorder="1" applyAlignment="1" applyProtection="1">
      <alignment horizontal="left" vertical="center"/>
      <protection locked="0"/>
    </xf>
    <xf numFmtId="3" fontId="0" fillId="2" borderId="2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0" fontId="0" fillId="0" borderId="0" xfId="0" quotePrefix="1" applyAlignment="1">
      <alignment horizontal="right"/>
    </xf>
    <xf numFmtId="166" fontId="0" fillId="0" borderId="0" xfId="0" applyNumberFormat="1"/>
    <xf numFmtId="4" fontId="1" fillId="0" borderId="1" xfId="0" applyNumberFormat="1" applyFont="1" applyBorder="1"/>
    <xf numFmtId="10" fontId="0" fillId="0" borderId="1" xfId="0" applyNumberFormat="1" applyBorder="1"/>
    <xf numFmtId="165" fontId="0" fillId="0" borderId="1" xfId="0" applyNumberFormat="1" applyBorder="1"/>
    <xf numFmtId="0" fontId="0" fillId="0" borderId="1" xfId="0" quotePrefix="1" applyBorder="1"/>
    <xf numFmtId="10" fontId="0" fillId="0" borderId="3" xfId="0" applyNumberFormat="1" applyBorder="1"/>
    <xf numFmtId="165" fontId="0" fillId="0" borderId="4" xfId="0" applyNumberFormat="1" applyBorder="1"/>
    <xf numFmtId="0" fontId="0" fillId="0" borderId="2" xfId="0" quotePrefix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10" fontId="0" fillId="0" borderId="0" xfId="0" applyNumberFormat="1" applyAlignment="1">
      <alignment vertical="center"/>
    </xf>
    <xf numFmtId="4" fontId="0" fillId="0" borderId="0" xfId="0" applyNumberFormat="1" applyAlignment="1">
      <alignment horizontal="center" vertical="center"/>
    </xf>
    <xf numFmtId="165" fontId="0" fillId="0" borderId="3" xfId="0" applyNumberFormat="1" applyBorder="1"/>
    <xf numFmtId="165" fontId="0" fillId="0" borderId="0" xfId="0" applyNumberFormat="1"/>
    <xf numFmtId="167" fontId="1" fillId="0" borderId="4" xfId="0" applyNumberFormat="1" applyFont="1" applyBorder="1"/>
    <xf numFmtId="167" fontId="0" fillId="0" borderId="4" xfId="0" applyNumberFormat="1" applyBorder="1"/>
    <xf numFmtId="10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167" fontId="1" fillId="0" borderId="0" xfId="0" applyNumberFormat="1" applyFont="1"/>
    <xf numFmtId="167" fontId="0" fillId="0" borderId="0" xfId="0" applyNumberFormat="1"/>
    <xf numFmtId="0" fontId="0" fillId="0" borderId="11" xfId="0" applyBorder="1" applyAlignment="1">
      <alignment horizontal="right"/>
    </xf>
    <xf numFmtId="4" fontId="0" fillId="0" borderId="4" xfId="0" applyNumberFormat="1" applyBorder="1" applyAlignment="1">
      <alignment horizontal="center" vertical="center"/>
    </xf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166" fontId="0" fillId="0" borderId="1" xfId="0" applyNumberFormat="1" applyBorder="1"/>
    <xf numFmtId="10" fontId="0" fillId="0" borderId="4" xfId="0" applyNumberFormat="1" applyBorder="1"/>
    <xf numFmtId="0" fontId="14" fillId="0" borderId="0" xfId="0" applyFont="1"/>
    <xf numFmtId="0" fontId="14" fillId="0" borderId="11" xfId="0" applyFont="1" applyBorder="1"/>
    <xf numFmtId="0" fontId="14" fillId="0" borderId="12" xfId="0" applyFont="1" applyBorder="1"/>
    <xf numFmtId="4" fontId="0" fillId="0" borderId="4" xfId="0" applyNumberFormat="1" applyBorder="1"/>
    <xf numFmtId="9" fontId="14" fillId="0" borderId="1" xfId="0" applyNumberFormat="1" applyFont="1" applyBorder="1"/>
    <xf numFmtId="0" fontId="0" fillId="0" borderId="11" xfId="0" quotePrefix="1" applyBorder="1" applyAlignment="1">
      <alignment horizontal="right"/>
    </xf>
    <xf numFmtId="4" fontId="0" fillId="0" borderId="4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1" fillId="0" borderId="13" xfId="0" applyFont="1" applyBorder="1"/>
    <xf numFmtId="0" fontId="9" fillId="0" borderId="0" xfId="0" applyFont="1"/>
    <xf numFmtId="164" fontId="0" fillId="0" borderId="0" xfId="0" applyNumberFormat="1" applyAlignment="1">
      <alignment horizontal="left" vertical="center"/>
    </xf>
    <xf numFmtId="3" fontId="0" fillId="0" borderId="0" xfId="0" applyNumberFormat="1" applyProtection="1">
      <protection locked="0"/>
    </xf>
    <xf numFmtId="0" fontId="13" fillId="0" borderId="0" xfId="0" applyFont="1"/>
    <xf numFmtId="0" fontId="11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1" xfId="0" applyFont="1" applyBorder="1"/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/>
    <xf numFmtId="0" fontId="11" fillId="3" borderId="0" xfId="0" applyFont="1" applyFill="1"/>
    <xf numFmtId="0" fontId="11" fillId="2" borderId="0" xfId="0" applyFont="1" applyFill="1"/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6" fillId="0" borderId="1" xfId="0" applyFont="1" applyBorder="1"/>
    <xf numFmtId="164" fontId="16" fillId="0" borderId="1" xfId="0" applyNumberFormat="1" applyFont="1" applyBorder="1"/>
    <xf numFmtId="1" fontId="16" fillId="0" borderId="1" xfId="0" applyNumberFormat="1" applyFont="1" applyBorder="1"/>
    <xf numFmtId="4" fontId="15" fillId="0" borderId="1" xfId="0" applyNumberFormat="1" applyFont="1" applyBorder="1"/>
    <xf numFmtId="165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2" xfId="0" applyBorder="1"/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/>
    <xf numFmtId="3" fontId="0" fillId="0" borderId="1" xfId="0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4" fontId="9" fillId="0" borderId="7" xfId="0" applyNumberFormat="1" applyFont="1" applyBorder="1"/>
    <xf numFmtId="0" fontId="9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9" fillId="0" borderId="0" xfId="0" applyNumberFormat="1" applyFont="1"/>
    <xf numFmtId="3" fontId="0" fillId="0" borderId="2" xfId="0" applyNumberFormat="1" applyBorder="1"/>
    <xf numFmtId="0" fontId="8" fillId="0" borderId="0" xfId="0" applyFont="1"/>
    <xf numFmtId="0" fontId="15" fillId="0" borderId="0" xfId="0" applyFont="1"/>
    <xf numFmtId="165" fontId="11" fillId="0" borderId="1" xfId="0" applyNumberFormat="1" applyFont="1" applyBorder="1"/>
    <xf numFmtId="165" fontId="1" fillId="0" borderId="0" xfId="0" applyNumberFormat="1" applyFont="1"/>
    <xf numFmtId="0" fontId="0" fillId="0" borderId="26" xfId="0" applyBorder="1" applyAlignment="1">
      <alignment horizontal="left" vertical="top" wrapText="1"/>
    </xf>
    <xf numFmtId="0" fontId="0" fillId="2" borderId="27" xfId="0" applyFill="1" applyBorder="1" applyAlignment="1" applyProtection="1">
      <alignment horizontal="left" vertical="top" wrapText="1"/>
      <protection locked="0"/>
    </xf>
    <xf numFmtId="0" fontId="0" fillId="2" borderId="28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0" xfId="0" applyAlignment="1">
      <alignment horizontal="left" vertical="top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3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0" fillId="2" borderId="8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Protection="1">
      <protection locked="0"/>
    </xf>
    <xf numFmtId="14" fontId="1" fillId="0" borderId="1" xfId="0" applyNumberFormat="1" applyFont="1" applyBorder="1" applyAlignment="1">
      <alignment horizontal="center" vertical="center"/>
    </xf>
    <xf numFmtId="0" fontId="0" fillId="2" borderId="29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/>
    </xf>
    <xf numFmtId="0" fontId="10" fillId="0" borderId="0" xfId="0" applyFont="1"/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164" fontId="12" fillId="0" borderId="0" xfId="0" applyNumberFormat="1" applyFont="1" applyAlignment="1">
      <alignment horizontal="left" vertic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2" borderId="13" xfId="0" applyFill="1" applyBorder="1" applyAlignment="1" applyProtection="1">
      <alignment horizontal="left" vertical="top" wrapText="1"/>
      <protection locked="0"/>
    </xf>
    <xf numFmtId="0" fontId="0" fillId="2" borderId="26" xfId="0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1" fillId="2" borderId="3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0" fillId="2" borderId="9" xfId="0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11" fillId="3" borderId="0" xfId="0" applyFont="1" applyFill="1" applyAlignment="1">
      <alignment horizontal="right"/>
    </xf>
    <xf numFmtId="0" fontId="11" fillId="2" borderId="2" xfId="0" applyFont="1" applyFill="1" applyBorder="1" applyProtection="1">
      <protection locked="0"/>
    </xf>
    <xf numFmtId="0" fontId="11" fillId="2" borderId="4" xfId="0" applyFont="1" applyFill="1" applyBorder="1" applyProtection="1">
      <protection locked="0"/>
    </xf>
    <xf numFmtId="0" fontId="15" fillId="0" borderId="1" xfId="0" applyFont="1" applyBorder="1" applyAlignment="1">
      <alignment vertical="center"/>
    </xf>
    <xf numFmtId="0" fontId="0" fillId="0" borderId="13" xfId="0" applyBorder="1"/>
    <xf numFmtId="0" fontId="0" fillId="0" borderId="26" xfId="0" applyBorder="1"/>
    <xf numFmtId="0" fontId="0" fillId="0" borderId="14" xfId="0" applyBorder="1"/>
    <xf numFmtId="4" fontId="0" fillId="0" borderId="13" xfId="0" applyNumberFormat="1" applyBorder="1" applyAlignment="1">
      <alignment horizontal="center" vertical="center"/>
    </xf>
    <xf numFmtId="4" fontId="0" fillId="0" borderId="26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4" xfId="0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vertical="center"/>
    </xf>
    <xf numFmtId="0" fontId="1" fillId="0" borderId="0" xfId="0" applyFont="1"/>
    <xf numFmtId="0" fontId="0" fillId="0" borderId="3" xfId="0" applyBorder="1"/>
    <xf numFmtId="0" fontId="0" fillId="0" borderId="4" xfId="0" applyBorder="1"/>
    <xf numFmtId="0" fontId="10" fillId="0" borderId="0" xfId="0" applyFont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8" fontId="0" fillId="0" borderId="3" xfId="0" applyNumberFormat="1" applyBorder="1" applyAlignment="1" applyProtection="1">
      <alignment horizontal="left" vertical="center"/>
    </xf>
  </cellXfs>
  <cellStyles count="2">
    <cellStyle name="Link" xfId="1" builtinId="8"/>
    <cellStyle name="Standard" xfId="0" builtinId="0"/>
  </cellStyles>
  <dxfs count="11">
    <dxf>
      <font>
        <color theme="0" tint="-0.499984740745262"/>
      </font>
      <fill>
        <patternFill>
          <bgColor theme="2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1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dotted">
          <color auto="1"/>
        </bottom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theme="0"/>
      </font>
      <border>
        <left/>
        <right/>
        <top/>
        <bottom/>
      </border>
    </dxf>
    <dxf>
      <font>
        <color theme="8" tint="0.79998168889431442"/>
      </font>
      <fill>
        <patternFill>
          <bgColor theme="8" tint="0.79998168889431442"/>
        </patternFill>
      </fill>
    </dxf>
    <dxf>
      <font>
        <b/>
        <i val="0"/>
      </font>
      <numFmt numFmtId="0" formatCode="General"/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Grundpreis CHF/kW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Anpassung Stadtrat</c:v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Preise!$N$16:$N$26</c:f>
              <c:numCache>
                <c:formatCode>General</c:formatCode>
                <c:ptCount val="11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</c:numCache>
            </c:numRef>
          </c:cat>
          <c:val>
            <c:numRef>
              <c:f>Preise!$P$16:$P$26</c:f>
              <c:numCache>
                <c:formatCode>General</c:formatCode>
                <c:ptCount val="11"/>
                <c:pt idx="0">
                  <c:v>80</c:v>
                </c:pt>
                <c:pt idx="1">
                  <c:v>80</c:v>
                </c:pt>
                <c:pt idx="2">
                  <c:v>76.25</c:v>
                </c:pt>
                <c:pt idx="3">
                  <c:v>72.5</c:v>
                </c:pt>
                <c:pt idx="4">
                  <c:v>68.75</c:v>
                </c:pt>
                <c:pt idx="5">
                  <c:v>65</c:v>
                </c:pt>
                <c:pt idx="6">
                  <c:v>61.25</c:v>
                </c:pt>
                <c:pt idx="7">
                  <c:v>57.5</c:v>
                </c:pt>
                <c:pt idx="8">
                  <c:v>53.75</c:v>
                </c:pt>
                <c:pt idx="9">
                  <c:v>50</c:v>
                </c:pt>
                <c:pt idx="1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8E-4AFF-8830-24E1C5C2F1CF}"/>
            </c:ext>
          </c:extLst>
        </c:ser>
        <c:ser>
          <c:idx val="0"/>
          <c:order val="1"/>
          <c:tx>
            <c:v>Aktuell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Preise!$N$16:$N$26</c:f>
              <c:numCache>
                <c:formatCode>General</c:formatCode>
                <c:ptCount val="11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</c:numCache>
            </c:numRef>
          </c:cat>
          <c:val>
            <c:numRef>
              <c:f>Preise!$O$16:$O$26</c:f>
              <c:numCache>
                <c:formatCode>General</c:formatCode>
                <c:ptCount val="11"/>
                <c:pt idx="0">
                  <c:v>110</c:v>
                </c:pt>
                <c:pt idx="1">
                  <c:v>110</c:v>
                </c:pt>
                <c:pt idx="2">
                  <c:v>105</c:v>
                </c:pt>
                <c:pt idx="3">
                  <c:v>100</c:v>
                </c:pt>
                <c:pt idx="4">
                  <c:v>95</c:v>
                </c:pt>
                <c:pt idx="5">
                  <c:v>90</c:v>
                </c:pt>
                <c:pt idx="6">
                  <c:v>85</c:v>
                </c:pt>
                <c:pt idx="7">
                  <c:v>80</c:v>
                </c:pt>
                <c:pt idx="8">
                  <c:v>75</c:v>
                </c:pt>
                <c:pt idx="9">
                  <c:v>70</c:v>
                </c:pt>
                <c:pt idx="10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8E-4AFF-8830-24E1C5C2F1CF}"/>
            </c:ext>
          </c:extLst>
        </c:ser>
        <c:ser>
          <c:idx val="2"/>
          <c:order val="2"/>
          <c:tx>
            <c:v>Max</c:v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Preise!$N$16:$N$26</c:f>
              <c:numCache>
                <c:formatCode>General</c:formatCode>
                <c:ptCount val="11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</c:numCache>
            </c:numRef>
          </c:cat>
          <c:val>
            <c:numRef>
              <c:f>Preise!$Q$16:$Q$26</c:f>
              <c:numCache>
                <c:formatCode>General</c:formatCode>
                <c:ptCount val="11"/>
                <c:pt idx="0">
                  <c:v>120</c:v>
                </c:pt>
                <c:pt idx="1">
                  <c:v>120</c:v>
                </c:pt>
                <c:pt idx="2">
                  <c:v>115</c:v>
                </c:pt>
                <c:pt idx="3">
                  <c:v>110</c:v>
                </c:pt>
                <c:pt idx="4">
                  <c:v>105</c:v>
                </c:pt>
                <c:pt idx="5">
                  <c:v>100</c:v>
                </c:pt>
                <c:pt idx="6">
                  <c:v>95</c:v>
                </c:pt>
                <c:pt idx="7">
                  <c:v>90</c:v>
                </c:pt>
                <c:pt idx="8">
                  <c:v>85</c:v>
                </c:pt>
                <c:pt idx="9">
                  <c:v>80</c:v>
                </c:pt>
                <c:pt idx="10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8E-4AFF-8830-24E1C5C2F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2969152"/>
        <c:axId val="1642970592"/>
      </c:lineChart>
      <c:catAx>
        <c:axId val="16429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2970592"/>
        <c:crosses val="autoZero"/>
        <c:auto val="1"/>
        <c:lblAlgn val="ctr"/>
        <c:lblOffset val="100"/>
        <c:noMultiLvlLbl val="0"/>
      </c:catAx>
      <c:valAx>
        <c:axId val="1642970592"/>
        <c:scaling>
          <c:orientation val="minMax"/>
          <c:max val="13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296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Energiepreis CHF/MWh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Anpassung. Stadtrat</c:v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Preise!$P$2:$P$14</c:f>
              <c:numCache>
                <c:formatCode>General</c:formatCode>
                <c:ptCount val="13"/>
                <c:pt idx="0">
                  <c:v>7.0000000000000007E-2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Preise!$R$2:$R$14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15</c:v>
                      </c:pt>
                      <c:pt idx="1">
                        <c:v>20</c:v>
                      </c:pt>
                      <c:pt idx="2">
                        <c:v>25</c:v>
                      </c:pt>
                      <c:pt idx="3">
                        <c:v>30</c:v>
                      </c:pt>
                      <c:pt idx="4">
                        <c:v>35</c:v>
                      </c:pt>
                      <c:pt idx="5">
                        <c:v>40</c:v>
                      </c:pt>
                      <c:pt idx="6">
                        <c:v>45</c:v>
                      </c:pt>
                      <c:pt idx="7">
                        <c:v>50</c:v>
                      </c:pt>
                      <c:pt idx="8">
                        <c:v>55</c:v>
                      </c:pt>
                      <c:pt idx="9">
                        <c:v>60</c:v>
                      </c:pt>
                      <c:pt idx="10">
                        <c:v>65</c:v>
                      </c:pt>
                      <c:pt idx="11">
                        <c:v>70</c:v>
                      </c:pt>
                      <c:pt idx="12">
                        <c:v>75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33B-4D41-9E8E-A37B9A69DEF2}"/>
            </c:ext>
          </c:extLst>
        </c:ser>
        <c:ser>
          <c:idx val="0"/>
          <c:order val="1"/>
          <c:tx>
            <c:v>Aktuell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Preise!$O$2:$O$14</c:f>
              <c:numCache>
                <c:formatCode>General</c:formatCode>
                <c:ptCount val="13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  <c:pt idx="3">
                  <c:v>0.09</c:v>
                </c:pt>
                <c:pt idx="4">
                  <c:v>0.09</c:v>
                </c:pt>
                <c:pt idx="5">
                  <c:v>0.09</c:v>
                </c:pt>
                <c:pt idx="6">
                  <c:v>0.09</c:v>
                </c:pt>
                <c:pt idx="7">
                  <c:v>0.09</c:v>
                </c:pt>
                <c:pt idx="8">
                  <c:v>0.09</c:v>
                </c:pt>
                <c:pt idx="9">
                  <c:v>0.09</c:v>
                </c:pt>
                <c:pt idx="10">
                  <c:v>0.09</c:v>
                </c:pt>
                <c:pt idx="11">
                  <c:v>0.09</c:v>
                </c:pt>
                <c:pt idx="12">
                  <c:v>0.09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Preise!$R$2:$R$14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15</c:v>
                      </c:pt>
                      <c:pt idx="1">
                        <c:v>20</c:v>
                      </c:pt>
                      <c:pt idx="2">
                        <c:v>25</c:v>
                      </c:pt>
                      <c:pt idx="3">
                        <c:v>30</c:v>
                      </c:pt>
                      <c:pt idx="4">
                        <c:v>35</c:v>
                      </c:pt>
                      <c:pt idx="5">
                        <c:v>40</c:v>
                      </c:pt>
                      <c:pt idx="6">
                        <c:v>45</c:v>
                      </c:pt>
                      <c:pt idx="7">
                        <c:v>50</c:v>
                      </c:pt>
                      <c:pt idx="8">
                        <c:v>55</c:v>
                      </c:pt>
                      <c:pt idx="9">
                        <c:v>60</c:v>
                      </c:pt>
                      <c:pt idx="10">
                        <c:v>65</c:v>
                      </c:pt>
                      <c:pt idx="11">
                        <c:v>70</c:v>
                      </c:pt>
                      <c:pt idx="12">
                        <c:v>75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33B-4D41-9E8E-A37B9A69DEF2}"/>
            </c:ext>
          </c:extLst>
        </c:ser>
        <c:ser>
          <c:idx val="2"/>
          <c:order val="2"/>
          <c:tx>
            <c:v>max</c:v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Preise!$Q$2:$Q$14</c:f>
              <c:numCache>
                <c:formatCode>General</c:formatCode>
                <c:ptCount val="13"/>
                <c:pt idx="0">
                  <c:v>0.12</c:v>
                </c:pt>
                <c:pt idx="1">
                  <c:v>0.12</c:v>
                </c:pt>
                <c:pt idx="2">
                  <c:v>0.12</c:v>
                </c:pt>
                <c:pt idx="3">
                  <c:v>0.12</c:v>
                </c:pt>
                <c:pt idx="4">
                  <c:v>0.12</c:v>
                </c:pt>
                <c:pt idx="5">
                  <c:v>0.12</c:v>
                </c:pt>
                <c:pt idx="6">
                  <c:v>0.12</c:v>
                </c:pt>
                <c:pt idx="7">
                  <c:v>0.12</c:v>
                </c:pt>
                <c:pt idx="8">
                  <c:v>0.12</c:v>
                </c:pt>
                <c:pt idx="9">
                  <c:v>0.12</c:v>
                </c:pt>
                <c:pt idx="10">
                  <c:v>0.12</c:v>
                </c:pt>
                <c:pt idx="11">
                  <c:v>0.12</c:v>
                </c:pt>
                <c:pt idx="12">
                  <c:v>0.12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Preise!$R$2:$R$14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15</c:v>
                      </c:pt>
                      <c:pt idx="1">
                        <c:v>20</c:v>
                      </c:pt>
                      <c:pt idx="2">
                        <c:v>25</c:v>
                      </c:pt>
                      <c:pt idx="3">
                        <c:v>30</c:v>
                      </c:pt>
                      <c:pt idx="4">
                        <c:v>35</c:v>
                      </c:pt>
                      <c:pt idx="5">
                        <c:v>40</c:v>
                      </c:pt>
                      <c:pt idx="6">
                        <c:v>45</c:v>
                      </c:pt>
                      <c:pt idx="7">
                        <c:v>50</c:v>
                      </c:pt>
                      <c:pt idx="8">
                        <c:v>55</c:v>
                      </c:pt>
                      <c:pt idx="9">
                        <c:v>60</c:v>
                      </c:pt>
                      <c:pt idx="10">
                        <c:v>65</c:v>
                      </c:pt>
                      <c:pt idx="11">
                        <c:v>70</c:v>
                      </c:pt>
                      <c:pt idx="12">
                        <c:v>75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33B-4D41-9E8E-A37B9A69D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2969152"/>
        <c:axId val="1642970592"/>
      </c:lineChart>
      <c:catAx>
        <c:axId val="16429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2970592"/>
        <c:crosses val="autoZero"/>
        <c:auto val="1"/>
        <c:lblAlgn val="ctr"/>
        <c:lblOffset val="100"/>
        <c:noMultiLvlLbl val="0"/>
      </c:catAx>
      <c:valAx>
        <c:axId val="1642970592"/>
        <c:scaling>
          <c:orientation val="minMax"/>
          <c:max val="0.13"/>
          <c:min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296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Anschlusskosten CHF/kW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Anpassung Stadtrat</c:v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Preise!$N$28:$N$38</c:f>
              <c:numCache>
                <c:formatCode>General</c:formatCode>
                <c:ptCount val="11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</c:numCache>
            </c:numRef>
          </c:cat>
          <c:val>
            <c:numRef>
              <c:f>Preise!$P$28:$P$38</c:f>
              <c:numCache>
                <c:formatCode>#,##0.00</c:formatCode>
                <c:ptCount val="11"/>
                <c:pt idx="0">
                  <c:v>600</c:v>
                </c:pt>
                <c:pt idx="1">
                  <c:v>600</c:v>
                </c:pt>
                <c:pt idx="2">
                  <c:v>562.5</c:v>
                </c:pt>
                <c:pt idx="3">
                  <c:v>525</c:v>
                </c:pt>
                <c:pt idx="4">
                  <c:v>487.5</c:v>
                </c:pt>
                <c:pt idx="5">
                  <c:v>450</c:v>
                </c:pt>
                <c:pt idx="6">
                  <c:v>412.5</c:v>
                </c:pt>
                <c:pt idx="7">
                  <c:v>375</c:v>
                </c:pt>
                <c:pt idx="8">
                  <c:v>337.5</c:v>
                </c:pt>
                <c:pt idx="9">
                  <c:v>300</c:v>
                </c:pt>
                <c:pt idx="10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7E-4A58-AA28-F21E3F9CF0EE}"/>
            </c:ext>
          </c:extLst>
        </c:ser>
        <c:ser>
          <c:idx val="0"/>
          <c:order val="1"/>
          <c:tx>
            <c:v>Aktuell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Preise!$N$28:$N$38</c:f>
              <c:numCache>
                <c:formatCode>General</c:formatCode>
                <c:ptCount val="11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</c:numCache>
            </c:numRef>
          </c:cat>
          <c:val>
            <c:numRef>
              <c:f>Preise!$O$28:$O$38</c:f>
              <c:numCache>
                <c:formatCode>#,##0.00</c:formatCode>
                <c:ptCount val="11"/>
                <c:pt idx="0">
                  <c:v>750</c:v>
                </c:pt>
                <c:pt idx="1">
                  <c:v>750</c:v>
                </c:pt>
                <c:pt idx="2">
                  <c:v>706.25</c:v>
                </c:pt>
                <c:pt idx="3">
                  <c:v>662.5</c:v>
                </c:pt>
                <c:pt idx="4">
                  <c:v>618.75</c:v>
                </c:pt>
                <c:pt idx="5">
                  <c:v>575</c:v>
                </c:pt>
                <c:pt idx="6">
                  <c:v>531.25</c:v>
                </c:pt>
                <c:pt idx="7">
                  <c:v>487.5</c:v>
                </c:pt>
                <c:pt idx="8">
                  <c:v>443.75</c:v>
                </c:pt>
                <c:pt idx="9">
                  <c:v>400</c:v>
                </c:pt>
                <c:pt idx="10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7E-4A58-AA28-F21E3F9CF0EE}"/>
            </c:ext>
          </c:extLst>
        </c:ser>
        <c:ser>
          <c:idx val="2"/>
          <c:order val="2"/>
          <c:tx>
            <c:v>max</c:v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Preise!$N$28:$N$38</c:f>
              <c:numCache>
                <c:formatCode>General</c:formatCode>
                <c:ptCount val="11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</c:numCache>
            </c:numRef>
          </c:cat>
          <c:val>
            <c:numRef>
              <c:f>Preise!$Q$28:$Q$38</c:f>
              <c:numCache>
                <c:formatCode>#,##0.00</c:formatCode>
                <c:ptCount val="11"/>
                <c:pt idx="0">
                  <c:v>900</c:v>
                </c:pt>
                <c:pt idx="1">
                  <c:v>900</c:v>
                </c:pt>
                <c:pt idx="2">
                  <c:v>862.5</c:v>
                </c:pt>
                <c:pt idx="3">
                  <c:v>825</c:v>
                </c:pt>
                <c:pt idx="4">
                  <c:v>787.5</c:v>
                </c:pt>
                <c:pt idx="5">
                  <c:v>750</c:v>
                </c:pt>
                <c:pt idx="6">
                  <c:v>712.5</c:v>
                </c:pt>
                <c:pt idx="7">
                  <c:v>675</c:v>
                </c:pt>
                <c:pt idx="8">
                  <c:v>637.5</c:v>
                </c:pt>
                <c:pt idx="9">
                  <c:v>600</c:v>
                </c:pt>
                <c:pt idx="10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7E-4A58-AA28-F21E3F9CF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2969152"/>
        <c:axId val="1642970592"/>
      </c:lineChart>
      <c:catAx>
        <c:axId val="16429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2970592"/>
        <c:crosses val="autoZero"/>
        <c:auto val="1"/>
        <c:lblAlgn val="ctr"/>
        <c:lblOffset val="100"/>
        <c:noMultiLvlLbl val="0"/>
      </c:catAx>
      <c:valAx>
        <c:axId val="1642970592"/>
        <c:scaling>
          <c:orientation val="minMax"/>
          <c:max val="11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296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80314965" l="0.59055118110236227" r="0.19685039370078741" t="1.1811023622047245" header="0.31496062992125984" footer="0.3149606299212598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Hausstation CHF/ kW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Anpassung Stadrat</c:v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Preise!$A$40:$A$50</c:f>
              <c:numCache>
                <c:formatCode>#,##0</c:formatCode>
                <c:ptCount val="11"/>
                <c:pt idx="0">
                  <c:v>15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150</c:v>
                </c:pt>
                <c:pt idx="5">
                  <c:v>200</c:v>
                </c:pt>
                <c:pt idx="6">
                  <c:v>250</c:v>
                </c:pt>
                <c:pt idx="7">
                  <c:v>350</c:v>
                </c:pt>
                <c:pt idx="8">
                  <c:v>500</c:v>
                </c:pt>
                <c:pt idx="9">
                  <c:v>750</c:v>
                </c:pt>
                <c:pt idx="10">
                  <c:v>1000</c:v>
                </c:pt>
              </c:numCache>
            </c:numRef>
          </c:cat>
          <c:val>
            <c:numRef>
              <c:f>Preise!$C$40:$C$50</c:f>
              <c:numCache>
                <c:formatCode>#,##0</c:formatCode>
                <c:ptCount val="11"/>
                <c:pt idx="0">
                  <c:v>6500</c:v>
                </c:pt>
                <c:pt idx="1">
                  <c:v>6500</c:v>
                </c:pt>
                <c:pt idx="2">
                  <c:v>7000</c:v>
                </c:pt>
                <c:pt idx="3">
                  <c:v>7000</c:v>
                </c:pt>
                <c:pt idx="4">
                  <c:v>9000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21000</c:v>
                </c:pt>
                <c:pt idx="10">
                  <c:v>26000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0-46A6-A535-2C95739D3628}"/>
            </c:ext>
          </c:extLst>
        </c:ser>
        <c:ser>
          <c:idx val="1"/>
          <c:order val="1"/>
          <c:tx>
            <c:v>Aktuell</c:v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Preise!$A$40:$A$50</c:f>
              <c:numCache>
                <c:formatCode>#,##0</c:formatCode>
                <c:ptCount val="11"/>
                <c:pt idx="0">
                  <c:v>15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150</c:v>
                </c:pt>
                <c:pt idx="5">
                  <c:v>200</c:v>
                </c:pt>
                <c:pt idx="6">
                  <c:v>250</c:v>
                </c:pt>
                <c:pt idx="7">
                  <c:v>350</c:v>
                </c:pt>
                <c:pt idx="8">
                  <c:v>500</c:v>
                </c:pt>
                <c:pt idx="9">
                  <c:v>750</c:v>
                </c:pt>
                <c:pt idx="10">
                  <c:v>1000</c:v>
                </c:pt>
              </c:numCache>
            </c:numRef>
          </c:cat>
          <c:val>
            <c:numRef>
              <c:f>Preise!$B$40:$B$50</c:f>
              <c:numCache>
                <c:formatCode>#,##0</c:formatCode>
                <c:ptCount val="11"/>
                <c:pt idx="0">
                  <c:v>7100</c:v>
                </c:pt>
                <c:pt idx="1">
                  <c:v>7550</c:v>
                </c:pt>
                <c:pt idx="2">
                  <c:v>8100</c:v>
                </c:pt>
                <c:pt idx="3">
                  <c:v>8500</c:v>
                </c:pt>
                <c:pt idx="4">
                  <c:v>8900</c:v>
                </c:pt>
                <c:pt idx="5">
                  <c:v>11560</c:v>
                </c:pt>
                <c:pt idx="6">
                  <c:v>13850</c:v>
                </c:pt>
                <c:pt idx="7">
                  <c:v>15550</c:v>
                </c:pt>
                <c:pt idx="8">
                  <c:v>18700</c:v>
                </c:pt>
                <c:pt idx="9">
                  <c:v>29500</c:v>
                </c:pt>
                <c:pt idx="10">
                  <c:v>31100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0-46A6-A535-2C95739D3628}"/>
            </c:ext>
          </c:extLst>
        </c:ser>
        <c:ser>
          <c:idx val="2"/>
          <c:order val="2"/>
          <c:tx>
            <c:v>Max</c:v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Preise!$A$40:$A$50</c:f>
              <c:numCache>
                <c:formatCode>#,##0</c:formatCode>
                <c:ptCount val="11"/>
                <c:pt idx="0">
                  <c:v>15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150</c:v>
                </c:pt>
                <c:pt idx="5">
                  <c:v>200</c:v>
                </c:pt>
                <c:pt idx="6">
                  <c:v>250</c:v>
                </c:pt>
                <c:pt idx="7">
                  <c:v>350</c:v>
                </c:pt>
                <c:pt idx="8">
                  <c:v>500</c:v>
                </c:pt>
                <c:pt idx="9">
                  <c:v>750</c:v>
                </c:pt>
                <c:pt idx="10">
                  <c:v>1000</c:v>
                </c:pt>
              </c:numCache>
            </c:numRef>
          </c:cat>
          <c:val>
            <c:numRef>
              <c:f>Preise!$D$40:$D$50</c:f>
              <c:numCache>
                <c:formatCode>#,##0</c:formatCode>
                <c:ptCount val="11"/>
                <c:pt idx="0">
                  <c:v>11000</c:v>
                </c:pt>
                <c:pt idx="1">
                  <c:v>11000</c:v>
                </c:pt>
                <c:pt idx="2">
                  <c:v>12000</c:v>
                </c:pt>
                <c:pt idx="3">
                  <c:v>12000</c:v>
                </c:pt>
                <c:pt idx="4">
                  <c:v>15000</c:v>
                </c:pt>
                <c:pt idx="5">
                  <c:v>17000</c:v>
                </c:pt>
                <c:pt idx="6">
                  <c:v>20000</c:v>
                </c:pt>
                <c:pt idx="7">
                  <c:v>23000</c:v>
                </c:pt>
                <c:pt idx="8">
                  <c:v>25000</c:v>
                </c:pt>
                <c:pt idx="9">
                  <c:v>35000</c:v>
                </c:pt>
                <c:pt idx="10">
                  <c:v>42000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B0-46A6-A535-2C95739D3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2969152"/>
        <c:axId val="1642970592"/>
      </c:barChart>
      <c:catAx>
        <c:axId val="164296915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2970592"/>
        <c:crosses val="autoZero"/>
        <c:auto val="1"/>
        <c:lblAlgn val="ctr"/>
        <c:lblOffset val="100"/>
        <c:noMultiLvlLbl val="0"/>
      </c:catAx>
      <c:valAx>
        <c:axId val="1642970592"/>
        <c:scaling>
          <c:orientation val="minMax"/>
          <c:max val="450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296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2713467818318042"/>
          <c:y val="0.8881347184543108"/>
          <c:w val="0.54823901949419696"/>
          <c:h val="7.4257945479587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Überlänge CHF/m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Anpassung Stadtrat</c:v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Preise!$N$52:$N$68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Preise!$P$52:$P$68</c:f>
              <c:numCache>
                <c:formatCode>#,##0.00</c:formatCode>
                <c:ptCount val="17"/>
                <c:pt idx="0">
                  <c:v>500</c:v>
                </c:pt>
                <c:pt idx="1">
                  <c:v>478.57142857142856</c:v>
                </c:pt>
                <c:pt idx="2">
                  <c:v>457.14285714285717</c:v>
                </c:pt>
                <c:pt idx="3">
                  <c:v>435.71428571428572</c:v>
                </c:pt>
                <c:pt idx="4">
                  <c:v>414.28571428571428</c:v>
                </c:pt>
                <c:pt idx="5">
                  <c:v>392.85714285714289</c:v>
                </c:pt>
                <c:pt idx="6">
                  <c:v>371.42857142857144</c:v>
                </c:pt>
                <c:pt idx="7">
                  <c:v>350</c:v>
                </c:pt>
                <c:pt idx="8">
                  <c:v>328.57142857142856</c:v>
                </c:pt>
                <c:pt idx="9">
                  <c:v>307.14285714285717</c:v>
                </c:pt>
                <c:pt idx="10">
                  <c:v>285.71428571428572</c:v>
                </c:pt>
                <c:pt idx="11">
                  <c:v>264.28571428571433</c:v>
                </c:pt>
                <c:pt idx="12">
                  <c:v>242.85714285714289</c:v>
                </c:pt>
                <c:pt idx="13">
                  <c:v>221.42857142857144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D3-4E3F-83DD-4651EEEE9BC8}"/>
            </c:ext>
          </c:extLst>
        </c:ser>
        <c:ser>
          <c:idx val="0"/>
          <c:order val="1"/>
          <c:tx>
            <c:v>Aktuell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Preise!$N$52:$N$68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Preise!$O$52:$O$68</c:f>
              <c:numCache>
                <c:formatCode>#,##0.00</c:formatCode>
                <c:ptCount val="17"/>
                <c:pt idx="0">
                  <c:v>650</c:v>
                </c:pt>
                <c:pt idx="1">
                  <c:v>628.57142857142856</c:v>
                </c:pt>
                <c:pt idx="2">
                  <c:v>607.14285714285711</c:v>
                </c:pt>
                <c:pt idx="3">
                  <c:v>585.71428571428578</c:v>
                </c:pt>
                <c:pt idx="4">
                  <c:v>564.28571428571433</c:v>
                </c:pt>
                <c:pt idx="5">
                  <c:v>542.85714285714289</c:v>
                </c:pt>
                <c:pt idx="6">
                  <c:v>521.42857142857144</c:v>
                </c:pt>
                <c:pt idx="7">
                  <c:v>500</c:v>
                </c:pt>
                <c:pt idx="8">
                  <c:v>478.57142857142856</c:v>
                </c:pt>
                <c:pt idx="9">
                  <c:v>457.14285714285717</c:v>
                </c:pt>
                <c:pt idx="10">
                  <c:v>435.71428571428572</c:v>
                </c:pt>
                <c:pt idx="11">
                  <c:v>414.28571428571433</c:v>
                </c:pt>
                <c:pt idx="12">
                  <c:v>392.85714285714289</c:v>
                </c:pt>
                <c:pt idx="13">
                  <c:v>371.42857142857144</c:v>
                </c:pt>
                <c:pt idx="14">
                  <c:v>350</c:v>
                </c:pt>
                <c:pt idx="15">
                  <c:v>350</c:v>
                </c:pt>
                <c:pt idx="16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D3-4E3F-83DD-4651EEEE9BC8}"/>
            </c:ext>
          </c:extLst>
        </c:ser>
        <c:ser>
          <c:idx val="2"/>
          <c:order val="2"/>
          <c:tx>
            <c:v>Max</c:v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Preise!$N$52:$N$68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Preise!$Q$52:$Q$68</c:f>
              <c:numCache>
                <c:formatCode>#,##0.00</c:formatCode>
                <c:ptCount val="17"/>
                <c:pt idx="0">
                  <c:v>800</c:v>
                </c:pt>
                <c:pt idx="1">
                  <c:v>778.57142857142856</c:v>
                </c:pt>
                <c:pt idx="2">
                  <c:v>757.14285714285711</c:v>
                </c:pt>
                <c:pt idx="3">
                  <c:v>735.71428571428578</c:v>
                </c:pt>
                <c:pt idx="4">
                  <c:v>714.28571428571433</c:v>
                </c:pt>
                <c:pt idx="5">
                  <c:v>692.85714285714289</c:v>
                </c:pt>
                <c:pt idx="6">
                  <c:v>671.42857142857144</c:v>
                </c:pt>
                <c:pt idx="7">
                  <c:v>650</c:v>
                </c:pt>
                <c:pt idx="8">
                  <c:v>628.57142857142856</c:v>
                </c:pt>
                <c:pt idx="9">
                  <c:v>607.14285714285711</c:v>
                </c:pt>
                <c:pt idx="10">
                  <c:v>585.71428571428578</c:v>
                </c:pt>
                <c:pt idx="11">
                  <c:v>564.28571428571433</c:v>
                </c:pt>
                <c:pt idx="12">
                  <c:v>542.85714285714289</c:v>
                </c:pt>
                <c:pt idx="13">
                  <c:v>521.42857142857144</c:v>
                </c:pt>
                <c:pt idx="14">
                  <c:v>500</c:v>
                </c:pt>
                <c:pt idx="15">
                  <c:v>500</c:v>
                </c:pt>
                <c:pt idx="16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D3-4E3F-83DD-4651EEEE9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2969152"/>
        <c:axId val="1642970592"/>
      </c:lineChart>
      <c:catAx>
        <c:axId val="16429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2970592"/>
        <c:crosses val="autoZero"/>
        <c:auto val="1"/>
        <c:lblAlgn val="ctr"/>
        <c:lblOffset val="100"/>
        <c:noMultiLvlLbl val="0"/>
      </c:catAx>
      <c:valAx>
        <c:axId val="1642970592"/>
        <c:scaling>
          <c:orientation val="minMax"/>
          <c:max val="9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4296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10</xdr:row>
      <xdr:rowOff>238125</xdr:rowOff>
    </xdr:from>
    <xdr:to>
      <xdr:col>18</xdr:col>
      <xdr:colOff>0</xdr:colOff>
      <xdr:row>22</xdr:row>
      <xdr:rowOff>19050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211C7DB-0027-4BCD-A6BB-5BDEA4292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47624</xdr:colOff>
      <xdr:row>0</xdr:row>
      <xdr:rowOff>238124</xdr:rowOff>
    </xdr:from>
    <xdr:to>
      <xdr:col>17</xdr:col>
      <xdr:colOff>752475</xdr:colOff>
      <xdr:row>10</xdr:row>
      <xdr:rowOff>66675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A8330955-D8F9-4A98-B8D5-0D7DFCE01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22</xdr:row>
      <xdr:rowOff>228601</xdr:rowOff>
    </xdr:from>
    <xdr:to>
      <xdr:col>18</xdr:col>
      <xdr:colOff>0</xdr:colOff>
      <xdr:row>36</xdr:row>
      <xdr:rowOff>1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B7976E01-01A3-4F9D-A113-CA67CE7DA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38099</xdr:colOff>
      <xdr:row>36</xdr:row>
      <xdr:rowOff>238125</xdr:rowOff>
    </xdr:from>
    <xdr:to>
      <xdr:col>17</xdr:col>
      <xdr:colOff>819149</xdr:colOff>
      <xdr:row>48</xdr:row>
      <xdr:rowOff>161925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9CD7F8EC-2959-4884-ADDB-A23DC7120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28575</xdr:colOff>
      <xdr:row>51</xdr:row>
      <xdr:rowOff>238125</xdr:rowOff>
    </xdr:from>
    <xdr:to>
      <xdr:col>18</xdr:col>
      <xdr:colOff>19050</xdr:colOff>
      <xdr:row>66</xdr:row>
      <xdr:rowOff>171450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89921503-39FB-47B1-9174-A12162A39C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waermebedarfsrechner.inf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6AC05-0B0B-4FBD-AEFB-5EABE1C12DA8}">
  <sheetPr codeName="Tabelle1">
    <tabColor theme="9" tint="0.79998168889431442"/>
  </sheetPr>
  <dimension ref="A1:F44"/>
  <sheetViews>
    <sheetView tabSelected="1" view="pageLayout" topLeftCell="A4" zoomScaleNormal="100" workbookViewId="0">
      <selection activeCell="B4" sqref="B4:F4"/>
    </sheetView>
  </sheetViews>
  <sheetFormatPr baseColWidth="10" defaultRowHeight="15" x14ac:dyDescent="0.25"/>
  <cols>
    <col min="1" max="1" width="34.5703125" customWidth="1"/>
    <col min="2" max="2" width="8.42578125" customWidth="1"/>
    <col min="4" max="4" width="11.28515625" customWidth="1"/>
    <col min="5" max="5" width="9.5703125" customWidth="1"/>
    <col min="6" max="6" width="16" customWidth="1"/>
  </cols>
  <sheetData>
    <row r="1" spans="1:6" ht="15.75" x14ac:dyDescent="0.25">
      <c r="A1" s="146" t="s">
        <v>142</v>
      </c>
      <c r="B1" s="146"/>
      <c r="C1" s="146"/>
      <c r="D1" s="146"/>
      <c r="E1" s="146"/>
      <c r="F1" s="8" t="str">
        <f>BasisDaten!$B$1</f>
        <v>2025.06.07</v>
      </c>
    </row>
    <row r="2" spans="1:6" ht="18.75" x14ac:dyDescent="0.3">
      <c r="A2" s="2"/>
    </row>
    <row r="3" spans="1:6" x14ac:dyDescent="0.25">
      <c r="A3" s="6" t="s">
        <v>212</v>
      </c>
    </row>
    <row r="4" spans="1:6" x14ac:dyDescent="0.25">
      <c r="A4" s="5" t="s">
        <v>162</v>
      </c>
      <c r="B4" s="150"/>
      <c r="C4" s="151"/>
      <c r="D4" s="151"/>
      <c r="E4" s="151"/>
      <c r="F4" s="152"/>
    </row>
    <row r="5" spans="1:6" x14ac:dyDescent="0.25">
      <c r="A5" s="5" t="s">
        <v>163</v>
      </c>
      <c r="B5" s="15"/>
      <c r="C5" s="128"/>
      <c r="D5" s="129"/>
      <c r="E5" s="129"/>
      <c r="F5" s="129"/>
    </row>
    <row r="6" spans="1:6" x14ac:dyDescent="0.25">
      <c r="A6" s="5" t="s">
        <v>69</v>
      </c>
      <c r="B6" s="16">
        <v>1</v>
      </c>
      <c r="C6" s="147" t="s">
        <v>70</v>
      </c>
      <c r="D6" s="148"/>
      <c r="E6" s="10">
        <v>2</v>
      </c>
    </row>
    <row r="7" spans="1:6" x14ac:dyDescent="0.25">
      <c r="F7" s="70"/>
    </row>
    <row r="8" spans="1:6" x14ac:dyDescent="0.25">
      <c r="A8" s="71" t="s">
        <v>201</v>
      </c>
      <c r="B8" s="72" t="str">
        <f>IF(B5="","",CONCATENATE("Eigentümer 1 (",B5,")"))</f>
        <v/>
      </c>
      <c r="C8" s="165" t="s">
        <v>204</v>
      </c>
      <c r="D8" s="166"/>
      <c r="E8" s="166"/>
      <c r="F8" s="167"/>
    </row>
    <row r="9" spans="1:6" x14ac:dyDescent="0.25">
      <c r="A9" s="168"/>
      <c r="B9" s="123"/>
      <c r="C9" s="126" t="s">
        <v>205</v>
      </c>
      <c r="D9" s="142"/>
      <c r="E9" s="143"/>
      <c r="F9" s="144"/>
    </row>
    <row r="10" spans="1:6" x14ac:dyDescent="0.25">
      <c r="A10" s="169"/>
      <c r="B10" s="123"/>
      <c r="C10" s="126" t="s">
        <v>207</v>
      </c>
      <c r="D10" s="142"/>
      <c r="E10" s="143"/>
      <c r="F10" s="144"/>
    </row>
    <row r="11" spans="1:6" x14ac:dyDescent="0.25">
      <c r="A11" s="169"/>
      <c r="B11" s="123"/>
      <c r="C11" s="126" t="s">
        <v>209</v>
      </c>
      <c r="D11" s="142"/>
      <c r="E11" s="143"/>
      <c r="F11" s="144"/>
    </row>
    <row r="12" spans="1:6" x14ac:dyDescent="0.25">
      <c r="A12" s="169"/>
      <c r="B12" s="123"/>
      <c r="C12" s="126" t="s">
        <v>206</v>
      </c>
      <c r="D12" s="142"/>
      <c r="E12" s="143"/>
      <c r="F12" s="144"/>
    </row>
    <row r="13" spans="1:6" x14ac:dyDescent="0.25">
      <c r="A13" s="169"/>
      <c r="B13" s="123"/>
      <c r="C13" s="126" t="s">
        <v>208</v>
      </c>
      <c r="D13" s="142"/>
      <c r="E13" s="143"/>
      <c r="F13" s="144"/>
    </row>
    <row r="14" spans="1:6" x14ac:dyDescent="0.25">
      <c r="A14" s="170"/>
      <c r="B14" s="123"/>
      <c r="C14" s="127"/>
      <c r="D14" s="142"/>
      <c r="E14" s="143"/>
      <c r="F14" s="144"/>
    </row>
    <row r="16" spans="1:6" x14ac:dyDescent="0.25">
      <c r="A16" s="71" t="s">
        <v>79</v>
      </c>
    </row>
    <row r="17" spans="1:6" x14ac:dyDescent="0.25">
      <c r="A17" s="153"/>
      <c r="B17" s="154"/>
      <c r="C17" s="154"/>
      <c r="D17" s="154"/>
      <c r="E17" s="154"/>
      <c r="F17" s="155"/>
    </row>
    <row r="18" spans="1:6" x14ac:dyDescent="0.25">
      <c r="A18" s="156"/>
      <c r="B18" s="157"/>
      <c r="C18" s="157"/>
      <c r="D18" s="157"/>
      <c r="E18" s="157"/>
      <c r="F18" s="158"/>
    </row>
    <row r="19" spans="1:6" x14ac:dyDescent="0.25">
      <c r="A19" s="156"/>
      <c r="B19" s="157"/>
      <c r="C19" s="157"/>
      <c r="D19" s="157"/>
      <c r="E19" s="157"/>
      <c r="F19" s="158"/>
    </row>
    <row r="20" spans="1:6" x14ac:dyDescent="0.25">
      <c r="A20" s="156"/>
      <c r="B20" s="157"/>
      <c r="C20" s="157"/>
      <c r="D20" s="157"/>
      <c r="E20" s="157"/>
      <c r="F20" s="158"/>
    </row>
    <row r="21" spans="1:6" x14ac:dyDescent="0.25">
      <c r="A21" s="156"/>
      <c r="B21" s="157"/>
      <c r="C21" s="157"/>
      <c r="D21" s="157"/>
      <c r="E21" s="157"/>
      <c r="F21" s="158"/>
    </row>
    <row r="22" spans="1:6" x14ac:dyDescent="0.25">
      <c r="A22" s="159"/>
      <c r="B22" s="160"/>
      <c r="C22" s="160"/>
      <c r="D22" s="160"/>
      <c r="E22" s="160"/>
      <c r="F22" s="161"/>
    </row>
    <row r="24" spans="1:6" x14ac:dyDescent="0.25">
      <c r="A24" s="71" t="s">
        <v>143</v>
      </c>
    </row>
    <row r="25" spans="1:6" x14ac:dyDescent="0.25">
      <c r="A25" s="10" t="s">
        <v>144</v>
      </c>
      <c r="B25" s="72">
        <f>IF($A$25=BasisDaten!$A$80,2,IF($A$25=BasisDaten!$A$81,3,IF($A$25=BasisDaten!$A$82,1,0)))</f>
        <v>3</v>
      </c>
      <c r="C25" s="149" t="str">
        <f>IF($B$25=2,"Ölverbrauch (Liter)",IF($B$25=3,"Anschlussleistung (kW)",IF($B$25=1,"Bitte Erfassung ausfüllen","")))</f>
        <v>Anschlussleistung (kW)</v>
      </c>
      <c r="D25" s="149"/>
      <c r="E25" s="149"/>
      <c r="F25" s="74"/>
    </row>
    <row r="26" spans="1:6" x14ac:dyDescent="0.25">
      <c r="A26" s="73"/>
    </row>
    <row r="27" spans="1:6" x14ac:dyDescent="0.25">
      <c r="A27" s="73"/>
    </row>
    <row r="28" spans="1:6" x14ac:dyDescent="0.25">
      <c r="A28" s="164" t="s">
        <v>167</v>
      </c>
      <c r="B28" s="164"/>
      <c r="C28" s="164"/>
      <c r="D28" s="164"/>
      <c r="E28" s="164"/>
      <c r="F28" s="164"/>
    </row>
    <row r="29" spans="1:6" x14ac:dyDescent="0.25">
      <c r="A29" s="6" t="s">
        <v>164</v>
      </c>
    </row>
    <row r="30" spans="1:6" x14ac:dyDescent="0.25">
      <c r="A30" s="5" t="s">
        <v>162</v>
      </c>
      <c r="B30" s="150"/>
      <c r="C30" s="151"/>
      <c r="D30" s="151"/>
      <c r="E30" s="151"/>
      <c r="F30" s="152"/>
    </row>
    <row r="31" spans="1:6" x14ac:dyDescent="0.25">
      <c r="A31" s="5" t="s">
        <v>163</v>
      </c>
      <c r="B31" s="15"/>
      <c r="C31" s="129"/>
      <c r="D31" s="129"/>
      <c r="E31" s="69"/>
      <c r="F31" s="129"/>
    </row>
    <row r="32" spans="1:6" x14ac:dyDescent="0.25">
      <c r="A32" s="5" t="s">
        <v>69</v>
      </c>
      <c r="B32" s="16">
        <v>1</v>
      </c>
      <c r="C32" s="147" t="s">
        <v>70</v>
      </c>
      <c r="D32" s="148"/>
      <c r="E32" s="10">
        <v>0</v>
      </c>
    </row>
    <row r="33" spans="1:6" x14ac:dyDescent="0.25">
      <c r="C33" s="162" t="s">
        <v>166</v>
      </c>
      <c r="D33" s="163"/>
      <c r="E33" s="27">
        <v>0</v>
      </c>
      <c r="F33" s="70"/>
    </row>
    <row r="34" spans="1:6" x14ac:dyDescent="0.25">
      <c r="C34" s="8"/>
      <c r="D34" s="8"/>
      <c r="E34" s="214"/>
      <c r="F34" s="70"/>
    </row>
    <row r="35" spans="1:6" x14ac:dyDescent="0.25">
      <c r="A35" s="71" t="s">
        <v>165</v>
      </c>
      <c r="B35" s="72" t="str">
        <f>IF(B31="","",CONCATENATE("Eigentümer 1 (",B31,")"))</f>
        <v/>
      </c>
      <c r="C35" s="165" t="s">
        <v>210</v>
      </c>
      <c r="D35" s="166"/>
      <c r="E35" s="166"/>
      <c r="F35" s="167"/>
    </row>
    <row r="36" spans="1:6" x14ac:dyDescent="0.25">
      <c r="A36" s="168"/>
      <c r="B36" s="123"/>
      <c r="C36" s="124" t="s">
        <v>205</v>
      </c>
      <c r="D36" s="142"/>
      <c r="E36" s="143"/>
      <c r="F36" s="144"/>
    </row>
    <row r="37" spans="1:6" x14ac:dyDescent="0.25">
      <c r="A37" s="169"/>
      <c r="B37" s="123"/>
      <c r="C37" s="124" t="s">
        <v>207</v>
      </c>
      <c r="D37" s="142"/>
      <c r="E37" s="143"/>
      <c r="F37" s="144"/>
    </row>
    <row r="38" spans="1:6" x14ac:dyDescent="0.25">
      <c r="A38" s="169"/>
      <c r="B38" s="123"/>
      <c r="C38" s="124" t="s">
        <v>209</v>
      </c>
      <c r="D38" s="142"/>
      <c r="E38" s="143"/>
      <c r="F38" s="144"/>
    </row>
    <row r="39" spans="1:6" x14ac:dyDescent="0.25">
      <c r="A39" s="169"/>
      <c r="B39" s="123"/>
      <c r="C39" s="124" t="s">
        <v>206</v>
      </c>
      <c r="D39" s="142"/>
      <c r="E39" s="143"/>
      <c r="F39" s="144"/>
    </row>
    <row r="40" spans="1:6" x14ac:dyDescent="0.25">
      <c r="A40" s="169"/>
      <c r="B40" s="123"/>
      <c r="C40" s="124" t="s">
        <v>208</v>
      </c>
      <c r="D40" s="142"/>
      <c r="E40" s="143"/>
      <c r="F40" s="144"/>
    </row>
    <row r="41" spans="1:6" x14ac:dyDescent="0.25">
      <c r="A41" s="170"/>
      <c r="B41" s="123"/>
      <c r="C41" s="125"/>
      <c r="D41" s="142"/>
      <c r="E41" s="143"/>
      <c r="F41" s="144"/>
    </row>
    <row r="44" spans="1:6" x14ac:dyDescent="0.25">
      <c r="A44" s="145" t="s">
        <v>198</v>
      </c>
      <c r="B44" s="145"/>
      <c r="C44" s="29">
        <v>3047</v>
      </c>
    </row>
  </sheetData>
  <sheetProtection algorithmName="SHA-512" hashValue="ihcty305Zn4yZWzADQav1OttZ+BK2DHVDGdJmdD0+M5JQcPcNWP7hCBybmDEWp+02F55dsCjuHJzhV50K7h2xQ==" saltValue="bJiEKTX/DndCIO8kuhBmeA==" spinCount="100000" sheet="1" objects="1" scenarios="1" selectLockedCells="1"/>
  <mergeCells count="26">
    <mergeCell ref="A44:B44"/>
    <mergeCell ref="A1:E1"/>
    <mergeCell ref="C6:D6"/>
    <mergeCell ref="C25:E25"/>
    <mergeCell ref="B30:F30"/>
    <mergeCell ref="B4:F4"/>
    <mergeCell ref="A17:F22"/>
    <mergeCell ref="C32:D32"/>
    <mergeCell ref="C33:D33"/>
    <mergeCell ref="A28:F28"/>
    <mergeCell ref="C8:F8"/>
    <mergeCell ref="C35:F35"/>
    <mergeCell ref="A9:A14"/>
    <mergeCell ref="A36:A41"/>
    <mergeCell ref="D36:F36"/>
    <mergeCell ref="D37:F37"/>
    <mergeCell ref="D38:F38"/>
    <mergeCell ref="D39:F39"/>
    <mergeCell ref="D40:F40"/>
    <mergeCell ref="D41:F41"/>
    <mergeCell ref="D9:F9"/>
    <mergeCell ref="D10:F10"/>
    <mergeCell ref="D11:F11"/>
    <mergeCell ref="D12:F12"/>
    <mergeCell ref="D13:F13"/>
    <mergeCell ref="D14:F14"/>
  </mergeCells>
  <conditionalFormatting sqref="C25:E25">
    <cfRule type="expression" dxfId="10" priority="2">
      <formula>$B$25=1</formula>
    </cfRule>
  </conditionalFormatting>
  <conditionalFormatting sqref="F25">
    <cfRule type="expression" dxfId="9" priority="1">
      <formula>$B$25=1</formula>
    </cfRule>
    <cfRule type="expression" dxfId="8" priority="3">
      <formula>B25&lt;1</formula>
    </cfRule>
    <cfRule type="expression" dxfId="7" priority="8">
      <formula>$B$25&gt;1</formula>
    </cfRule>
  </conditionalFormatting>
  <pageMargins left="0.59055118110236227" right="0.39370078740157483" top="1.1811023622047245" bottom="0.78740157480314965" header="0.31496062992125984" footer="0.31496062992125984"/>
  <pageSetup paperSize="9" orientation="portrait" r:id="rId1"/>
  <headerFooter>
    <oddHeader>&amp;L&amp;G&amp;R&amp;G</oddHeader>
    <oddFooter>&amp;L&amp;9Powered by Argast Informatik- und Elektroengineering, Laufenburg&amp;R&amp;D : &amp;T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AAC6926-D37F-4AA7-B227-9A6EAEDD5FBC}">
          <x14:formula1>
            <xm:f>BasisDaten!$A$80:$A$82</xm:f>
          </x14:formula1>
          <xm:sqref>A25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DBDEC-32FE-4C85-9DFB-58BFCD783E7B}">
  <sheetPr>
    <tabColor theme="8" tint="0.79998168889431442"/>
  </sheetPr>
  <dimension ref="A1:F40"/>
  <sheetViews>
    <sheetView view="pageLayout" zoomScaleNormal="100" workbookViewId="0">
      <selection activeCell="D35" sqref="D35:F35"/>
    </sheetView>
  </sheetViews>
  <sheetFormatPr baseColWidth="10" defaultRowHeight="15" x14ac:dyDescent="0.25"/>
  <cols>
    <col min="1" max="1" width="32.85546875" customWidth="1"/>
    <col min="2" max="2" width="10.85546875" customWidth="1"/>
    <col min="5" max="5" width="0.28515625" customWidth="1"/>
    <col min="6" max="6" width="22.7109375" customWidth="1"/>
  </cols>
  <sheetData>
    <row r="1" spans="1:6" ht="15.75" x14ac:dyDescent="0.25">
      <c r="A1" s="20" t="s">
        <v>211</v>
      </c>
      <c r="B1" s="20"/>
      <c r="C1" s="20"/>
      <c r="D1" s="20"/>
      <c r="E1" s="20"/>
      <c r="F1" s="8" t="str">
        <f>BasisDaten!$B$1</f>
        <v>2025.06.07</v>
      </c>
    </row>
    <row r="3" spans="1:6" x14ac:dyDescent="0.25">
      <c r="A3" s="6" t="s">
        <v>212</v>
      </c>
    </row>
    <row r="4" spans="1:6" x14ac:dyDescent="0.25">
      <c r="A4" s="5" t="s">
        <v>162</v>
      </c>
      <c r="B4" s="171" t="str">
        <f>IF(Grunddaten!B4="","",Grunddaten!B4)</f>
        <v/>
      </c>
      <c r="C4" s="172"/>
      <c r="D4" s="172"/>
      <c r="E4" s="172"/>
      <c r="F4" s="173"/>
    </row>
    <row r="5" spans="1:6" x14ac:dyDescent="0.25">
      <c r="A5" s="5" t="s">
        <v>163</v>
      </c>
      <c r="B5" s="131" t="str">
        <f>IF(Grunddaten!B5="","",Grunddaten!B5)</f>
        <v/>
      </c>
      <c r="C5" s="128"/>
      <c r="D5" s="129"/>
      <c r="E5" s="129"/>
      <c r="F5" s="129"/>
    </row>
    <row r="6" spans="1:6" x14ac:dyDescent="0.25">
      <c r="A6" s="5" t="s">
        <v>12</v>
      </c>
      <c r="B6" s="136"/>
      <c r="C6" s="132"/>
    </row>
    <row r="7" spans="1:6" x14ac:dyDescent="0.25">
      <c r="A7" s="5" t="s">
        <v>228</v>
      </c>
      <c r="B7" s="137"/>
      <c r="C7" s="132"/>
      <c r="D7" s="132"/>
      <c r="E7" s="132"/>
      <c r="F7" s="132"/>
    </row>
    <row r="8" spans="1:6" x14ac:dyDescent="0.25">
      <c r="A8" s="5" t="s">
        <v>229</v>
      </c>
      <c r="B8" s="137"/>
      <c r="C8" s="132"/>
    </row>
    <row r="9" spans="1:6" x14ac:dyDescent="0.25">
      <c r="B9" s="132"/>
      <c r="C9" s="132"/>
    </row>
    <row r="10" spans="1:6" x14ac:dyDescent="0.25">
      <c r="A10" s="5" t="s">
        <v>214</v>
      </c>
      <c r="B10" s="138" t="b">
        <v>0</v>
      </c>
      <c r="C10" s="132"/>
    </row>
    <row r="11" spans="1:6" x14ac:dyDescent="0.25">
      <c r="A11" s="5" t="s">
        <v>215</v>
      </c>
      <c r="B11" s="174"/>
      <c r="C11" s="175"/>
    </row>
    <row r="12" spans="1:6" x14ac:dyDescent="0.25">
      <c r="A12" s="5" t="s">
        <v>216</v>
      </c>
      <c r="B12" s="174"/>
      <c r="C12" s="175"/>
    </row>
    <row r="13" spans="1:6" x14ac:dyDescent="0.25">
      <c r="B13" s="132"/>
      <c r="C13" s="132"/>
    </row>
    <row r="14" spans="1:6" x14ac:dyDescent="0.25">
      <c r="A14" s="5" t="s">
        <v>61</v>
      </c>
      <c r="B14" s="174"/>
      <c r="C14" s="175"/>
    </row>
    <row r="15" spans="1:6" x14ac:dyDescent="0.25">
      <c r="A15" s="5" t="s">
        <v>226</v>
      </c>
      <c r="B15" s="137"/>
      <c r="C15" s="132"/>
    </row>
    <row r="16" spans="1:6" x14ac:dyDescent="0.25">
      <c r="B16" s="132"/>
      <c r="C16" s="132"/>
    </row>
    <row r="17" spans="1:6" x14ac:dyDescent="0.25">
      <c r="A17" s="5" t="s">
        <v>222</v>
      </c>
      <c r="B17" s="174"/>
      <c r="C17" s="175"/>
    </row>
    <row r="18" spans="1:6" x14ac:dyDescent="0.25">
      <c r="A18" s="5" t="s">
        <v>231</v>
      </c>
      <c r="B18" s="137"/>
      <c r="C18" s="132"/>
    </row>
    <row r="19" spans="1:6" x14ac:dyDescent="0.25">
      <c r="A19" s="5" t="s">
        <v>12</v>
      </c>
      <c r="B19" s="137"/>
      <c r="C19" s="132"/>
    </row>
    <row r="20" spans="1:6" x14ac:dyDescent="0.25">
      <c r="A20" s="5" t="s">
        <v>230</v>
      </c>
      <c r="B20" s="138" t="b">
        <v>0</v>
      </c>
      <c r="C20" s="132"/>
    </row>
    <row r="21" spans="1:6" x14ac:dyDescent="0.25">
      <c r="B21" s="132"/>
      <c r="C21" s="132"/>
    </row>
    <row r="22" spans="1:6" x14ac:dyDescent="0.25">
      <c r="A22" s="6" t="s">
        <v>232</v>
      </c>
      <c r="B22" s="132"/>
      <c r="C22" s="132"/>
    </row>
    <row r="23" spans="1:6" x14ac:dyDescent="0.25">
      <c r="A23" s="5" t="s">
        <v>233</v>
      </c>
      <c r="B23" s="139"/>
      <c r="C23" s="132"/>
    </row>
    <row r="24" spans="1:6" x14ac:dyDescent="0.25">
      <c r="A24" s="130" t="s">
        <v>234</v>
      </c>
      <c r="B24" s="180"/>
      <c r="C24" s="181"/>
      <c r="D24" s="181"/>
      <c r="E24" s="181"/>
      <c r="F24" s="182"/>
    </row>
    <row r="25" spans="1:6" x14ac:dyDescent="0.25">
      <c r="A25" s="133"/>
      <c r="B25" s="183"/>
      <c r="C25" s="184"/>
      <c r="D25" s="184"/>
      <c r="E25" s="184"/>
      <c r="F25" s="185"/>
    </row>
    <row r="26" spans="1:6" x14ac:dyDescent="0.25">
      <c r="A26" s="134"/>
      <c r="B26" s="186"/>
      <c r="C26" s="187"/>
      <c r="D26" s="187"/>
      <c r="E26" s="187"/>
      <c r="F26" s="188"/>
    </row>
    <row r="27" spans="1:6" x14ac:dyDescent="0.25">
      <c r="A27" s="135"/>
      <c r="B27" s="135"/>
      <c r="C27" s="135"/>
      <c r="D27" s="135"/>
      <c r="E27" s="135"/>
      <c r="F27" s="135"/>
    </row>
    <row r="29" spans="1:6" x14ac:dyDescent="0.25">
      <c r="A29" s="71" t="s">
        <v>235</v>
      </c>
      <c r="B29" s="72" t="str">
        <f>IF(B26="","",CONCATENATE("Eigentümer 1 (",B26,")"))</f>
        <v/>
      </c>
      <c r="C29" s="165" t="s">
        <v>204</v>
      </c>
      <c r="D29" s="166"/>
      <c r="E29" s="166"/>
      <c r="F29" s="167"/>
    </row>
    <row r="30" spans="1:6" x14ac:dyDescent="0.25">
      <c r="A30" s="168"/>
      <c r="B30" s="123"/>
      <c r="C30" s="126" t="s">
        <v>205</v>
      </c>
      <c r="D30" s="176"/>
      <c r="E30" s="177"/>
      <c r="F30" s="178"/>
    </row>
    <row r="31" spans="1:6" x14ac:dyDescent="0.25">
      <c r="A31" s="169"/>
      <c r="B31" s="123"/>
      <c r="C31" s="126" t="s">
        <v>207</v>
      </c>
      <c r="D31" s="176"/>
      <c r="E31" s="177"/>
      <c r="F31" s="178"/>
    </row>
    <row r="32" spans="1:6" x14ac:dyDescent="0.25">
      <c r="A32" s="169"/>
      <c r="B32" s="123"/>
      <c r="C32" s="126" t="s">
        <v>209</v>
      </c>
      <c r="D32" s="176"/>
      <c r="E32" s="177"/>
      <c r="F32" s="178"/>
    </row>
    <row r="33" spans="1:6" x14ac:dyDescent="0.25">
      <c r="A33" s="169"/>
      <c r="B33" s="123"/>
      <c r="C33" s="126" t="s">
        <v>206</v>
      </c>
      <c r="D33" s="176"/>
      <c r="E33" s="177"/>
      <c r="F33" s="178"/>
    </row>
    <row r="34" spans="1:6" x14ac:dyDescent="0.25">
      <c r="A34" s="169"/>
      <c r="B34" s="123"/>
      <c r="C34" s="126" t="s">
        <v>208</v>
      </c>
      <c r="D34" s="176"/>
      <c r="E34" s="177"/>
      <c r="F34" s="178"/>
    </row>
    <row r="35" spans="1:6" x14ac:dyDescent="0.25">
      <c r="A35" s="170"/>
      <c r="B35" s="123"/>
      <c r="C35" s="127"/>
      <c r="D35" s="176"/>
      <c r="E35" s="177"/>
      <c r="F35" s="178"/>
    </row>
    <row r="38" spans="1:6" x14ac:dyDescent="0.25">
      <c r="A38" s="5" t="s">
        <v>236</v>
      </c>
      <c r="B38" s="179"/>
      <c r="C38" s="179"/>
    </row>
    <row r="39" spans="1:6" x14ac:dyDescent="0.25">
      <c r="A39" s="5" t="s">
        <v>237</v>
      </c>
      <c r="B39" s="179"/>
      <c r="C39" s="179"/>
    </row>
    <row r="40" spans="1:6" x14ac:dyDescent="0.25">
      <c r="A40" s="5" t="s">
        <v>238</v>
      </c>
      <c r="B40" s="179"/>
      <c r="C40" s="179"/>
    </row>
  </sheetData>
  <sheetProtection algorithmName="SHA-512" hashValue="3+RRbuzw/popa0lKy/x0vCsL/q4CucO6n+qTIMv0r3IyOxvObSFNFpnBo6EK5fe2AXMRKc5QuVZQRWzIWpvIBg==" saltValue="whAvz/jqJaraU08LYdl0Tg==" spinCount="100000" sheet="1" objects="1" scenarios="1" selectLockedCells="1"/>
  <mergeCells count="17">
    <mergeCell ref="B39:C39"/>
    <mergeCell ref="C29:F29"/>
    <mergeCell ref="B38:C38"/>
    <mergeCell ref="B40:C40"/>
    <mergeCell ref="B24:F26"/>
    <mergeCell ref="A30:A35"/>
    <mergeCell ref="D30:F30"/>
    <mergeCell ref="D31:F31"/>
    <mergeCell ref="D32:F32"/>
    <mergeCell ref="D33:F33"/>
    <mergeCell ref="D34:F34"/>
    <mergeCell ref="D35:F35"/>
    <mergeCell ref="B4:F4"/>
    <mergeCell ref="B11:C11"/>
    <mergeCell ref="B12:C12"/>
    <mergeCell ref="B17:C17"/>
    <mergeCell ref="B14:C14"/>
  </mergeCells>
  <pageMargins left="0.59055118110236227" right="0.39370078740157483" top="1.1811023622047245" bottom="0.78740157480314965" header="0.31496062992125984" footer="0.31496062992125984"/>
  <pageSetup paperSize="9" orientation="portrait" r:id="rId1"/>
  <headerFooter>
    <oddHeader>&amp;L&amp;G&amp;R&amp;G</oddHeader>
    <oddFooter>&amp;LPowered by Argast Informatik- und Elektroengineering, Laufenburg&amp;R&amp;D : &amp;T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6A1BC162-EADD-4FCD-A3AA-A00E87E864A4}">
          <x14:formula1>
            <xm:f>BasisDaten!$A$32:$A$35</xm:f>
          </x14:formula1>
          <xm:sqref>B11:C11</xm:sqref>
        </x14:dataValidation>
        <x14:dataValidation type="list" allowBlank="1" showInputMessage="1" showErrorMessage="1" xr:uid="{42B26773-A616-4472-A1AD-ED5C0D807C1F}">
          <x14:formula1>
            <xm:f>BasisDaten!$B$31:$B$35</xm:f>
          </x14:formula1>
          <xm:sqref>B12</xm:sqref>
        </x14:dataValidation>
        <x14:dataValidation type="list" allowBlank="1" showInputMessage="1" showErrorMessage="1" xr:uid="{3BBD800B-B693-4121-A4D2-070F96A6F9EB}">
          <x14:formula1>
            <xm:f>BasisDaten!$A$66:$A$71</xm:f>
          </x14:formula1>
          <xm:sqref>B17:C17</xm:sqref>
        </x14:dataValidation>
        <x14:dataValidation type="list" allowBlank="1" showInputMessage="1" showErrorMessage="1" xr:uid="{644B9223-235C-446F-8C79-588EA4730756}">
          <x14:formula1>
            <xm:f>BasisDaten!$B$37:$B$40</xm:f>
          </x14:formula1>
          <xm:sqref>B14:C14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C731B-E282-44BE-A7E4-6EDB9B809E8A}">
  <sheetPr>
    <tabColor theme="8" tint="0.79998168889431442"/>
  </sheetPr>
  <dimension ref="A1:F40"/>
  <sheetViews>
    <sheetView view="pageLayout" topLeftCell="A19" zoomScaleNormal="100" workbookViewId="0">
      <selection activeCell="D35" sqref="D35:F35"/>
    </sheetView>
  </sheetViews>
  <sheetFormatPr baseColWidth="10" defaultRowHeight="15" x14ac:dyDescent="0.25"/>
  <cols>
    <col min="1" max="1" width="32.85546875" customWidth="1"/>
    <col min="2" max="2" width="10.85546875" customWidth="1"/>
    <col min="5" max="5" width="0.28515625" customWidth="1"/>
    <col min="6" max="6" width="22.7109375" customWidth="1"/>
  </cols>
  <sheetData>
    <row r="1" spans="1:6" ht="15.75" x14ac:dyDescent="0.25">
      <c r="A1" s="20" t="s">
        <v>211</v>
      </c>
      <c r="B1" s="20"/>
      <c r="C1" s="20"/>
      <c r="D1" s="20"/>
      <c r="E1" s="20"/>
      <c r="F1" s="8" t="str">
        <f>BasisDaten!$B$1</f>
        <v>2025.06.07</v>
      </c>
    </row>
    <row r="3" spans="1:6" x14ac:dyDescent="0.25">
      <c r="A3" s="6" t="s">
        <v>212</v>
      </c>
    </row>
    <row r="4" spans="1:6" x14ac:dyDescent="0.25">
      <c r="A4" s="5" t="s">
        <v>162</v>
      </c>
      <c r="B4" s="171" t="str">
        <f>IF(Grunddaten!B30="","",Grunddaten!B30)</f>
        <v/>
      </c>
      <c r="C4" s="172"/>
      <c r="D4" s="172"/>
      <c r="E4" s="172"/>
      <c r="F4" s="173"/>
    </row>
    <row r="5" spans="1:6" x14ac:dyDescent="0.25">
      <c r="A5" s="5" t="s">
        <v>163</v>
      </c>
      <c r="B5" s="131" t="str">
        <f>IF(Grunddaten!B31="","",Grunddaten!B31)</f>
        <v/>
      </c>
      <c r="C5" s="128"/>
      <c r="D5" s="129"/>
      <c r="E5" s="129"/>
      <c r="F5" s="129"/>
    </row>
    <row r="6" spans="1:6" x14ac:dyDescent="0.25">
      <c r="A6" s="5" t="s">
        <v>12</v>
      </c>
      <c r="B6" s="136"/>
      <c r="C6" s="132"/>
    </row>
    <row r="7" spans="1:6" x14ac:dyDescent="0.25">
      <c r="A7" s="5" t="s">
        <v>228</v>
      </c>
      <c r="B7" s="137"/>
      <c r="C7" s="132"/>
      <c r="D7" s="132"/>
      <c r="E7" s="132"/>
      <c r="F7" s="132"/>
    </row>
    <row r="8" spans="1:6" x14ac:dyDescent="0.25">
      <c r="A8" s="5" t="s">
        <v>229</v>
      </c>
      <c r="B8" s="137"/>
      <c r="C8" s="132"/>
    </row>
    <row r="9" spans="1:6" x14ac:dyDescent="0.25">
      <c r="B9" s="132"/>
      <c r="C9" s="132"/>
    </row>
    <row r="10" spans="1:6" x14ac:dyDescent="0.25">
      <c r="A10" s="5" t="s">
        <v>214</v>
      </c>
      <c r="B10" s="138" t="b">
        <v>0</v>
      </c>
      <c r="C10" s="132"/>
    </row>
    <row r="11" spans="1:6" x14ac:dyDescent="0.25">
      <c r="A11" s="5" t="s">
        <v>215</v>
      </c>
      <c r="B11" s="174"/>
      <c r="C11" s="175"/>
    </row>
    <row r="12" spans="1:6" x14ac:dyDescent="0.25">
      <c r="A12" s="5" t="s">
        <v>216</v>
      </c>
      <c r="B12" s="174"/>
      <c r="C12" s="175"/>
    </row>
    <row r="13" spans="1:6" x14ac:dyDescent="0.25">
      <c r="B13" s="132"/>
      <c r="C13" s="132"/>
    </row>
    <row r="14" spans="1:6" x14ac:dyDescent="0.25">
      <c r="A14" s="5" t="s">
        <v>61</v>
      </c>
      <c r="B14" s="174"/>
      <c r="C14" s="175"/>
    </row>
    <row r="15" spans="1:6" x14ac:dyDescent="0.25">
      <c r="A15" s="5" t="s">
        <v>226</v>
      </c>
      <c r="B15" s="137"/>
      <c r="C15" s="132"/>
    </row>
    <row r="16" spans="1:6" x14ac:dyDescent="0.25">
      <c r="B16" s="132"/>
      <c r="C16" s="132"/>
    </row>
    <row r="17" spans="1:6" x14ac:dyDescent="0.25">
      <c r="A17" s="5" t="s">
        <v>222</v>
      </c>
      <c r="B17" s="174"/>
      <c r="C17" s="175"/>
    </row>
    <row r="18" spans="1:6" x14ac:dyDescent="0.25">
      <c r="A18" s="5" t="s">
        <v>231</v>
      </c>
      <c r="B18" s="137"/>
      <c r="C18" s="132"/>
    </row>
    <row r="19" spans="1:6" x14ac:dyDescent="0.25">
      <c r="A19" s="5" t="s">
        <v>12</v>
      </c>
      <c r="B19" s="137"/>
      <c r="C19" s="132"/>
    </row>
    <row r="20" spans="1:6" x14ac:dyDescent="0.25">
      <c r="A20" s="5" t="s">
        <v>230</v>
      </c>
      <c r="B20" s="138" t="b">
        <v>0</v>
      </c>
      <c r="C20" s="132"/>
    </row>
    <row r="21" spans="1:6" x14ac:dyDescent="0.25">
      <c r="B21" s="132"/>
      <c r="C21" s="132"/>
    </row>
    <row r="22" spans="1:6" x14ac:dyDescent="0.25">
      <c r="A22" s="6" t="s">
        <v>232</v>
      </c>
      <c r="B22" s="132"/>
      <c r="C22" s="132"/>
    </row>
    <row r="23" spans="1:6" x14ac:dyDescent="0.25">
      <c r="A23" s="5" t="s">
        <v>233</v>
      </c>
      <c r="B23" s="139"/>
      <c r="C23" s="132"/>
    </row>
    <row r="24" spans="1:6" x14ac:dyDescent="0.25">
      <c r="A24" s="130" t="s">
        <v>234</v>
      </c>
      <c r="B24" s="180"/>
      <c r="C24" s="181"/>
      <c r="D24" s="181"/>
      <c r="E24" s="181"/>
      <c r="F24" s="182"/>
    </row>
    <row r="25" spans="1:6" x14ac:dyDescent="0.25">
      <c r="A25" s="133"/>
      <c r="B25" s="183"/>
      <c r="C25" s="184"/>
      <c r="D25" s="184"/>
      <c r="E25" s="184"/>
      <c r="F25" s="185"/>
    </row>
    <row r="26" spans="1:6" x14ac:dyDescent="0.25">
      <c r="A26" s="134"/>
      <c r="B26" s="186"/>
      <c r="C26" s="187"/>
      <c r="D26" s="187"/>
      <c r="E26" s="187"/>
      <c r="F26" s="188"/>
    </row>
    <row r="27" spans="1:6" x14ac:dyDescent="0.25">
      <c r="A27" s="135"/>
      <c r="B27" s="135"/>
      <c r="C27" s="135"/>
      <c r="D27" s="135"/>
      <c r="E27" s="135"/>
      <c r="F27" s="135"/>
    </row>
    <row r="29" spans="1:6" x14ac:dyDescent="0.25">
      <c r="A29" s="71" t="s">
        <v>235</v>
      </c>
      <c r="B29" s="72" t="str">
        <f>IF(B26="","",CONCATENATE("Eigentümer 1 (",B26,")"))</f>
        <v/>
      </c>
      <c r="C29" s="165" t="s">
        <v>204</v>
      </c>
      <c r="D29" s="166"/>
      <c r="E29" s="166"/>
      <c r="F29" s="167"/>
    </row>
    <row r="30" spans="1:6" x14ac:dyDescent="0.25">
      <c r="A30" s="168"/>
      <c r="B30" s="123"/>
      <c r="C30" s="126" t="s">
        <v>205</v>
      </c>
      <c r="D30" s="176"/>
      <c r="E30" s="177"/>
      <c r="F30" s="178"/>
    </row>
    <row r="31" spans="1:6" x14ac:dyDescent="0.25">
      <c r="A31" s="169"/>
      <c r="B31" s="123"/>
      <c r="C31" s="126" t="s">
        <v>207</v>
      </c>
      <c r="D31" s="176"/>
      <c r="E31" s="177"/>
      <c r="F31" s="178"/>
    </row>
    <row r="32" spans="1:6" x14ac:dyDescent="0.25">
      <c r="A32" s="169"/>
      <c r="B32" s="123"/>
      <c r="C32" s="126" t="s">
        <v>209</v>
      </c>
      <c r="D32" s="176"/>
      <c r="E32" s="177"/>
      <c r="F32" s="178"/>
    </row>
    <row r="33" spans="1:6" x14ac:dyDescent="0.25">
      <c r="A33" s="169"/>
      <c r="B33" s="123"/>
      <c r="C33" s="126" t="s">
        <v>206</v>
      </c>
      <c r="D33" s="176"/>
      <c r="E33" s="177"/>
      <c r="F33" s="178"/>
    </row>
    <row r="34" spans="1:6" x14ac:dyDescent="0.25">
      <c r="A34" s="169"/>
      <c r="B34" s="123"/>
      <c r="C34" s="126" t="s">
        <v>208</v>
      </c>
      <c r="D34" s="176"/>
      <c r="E34" s="177"/>
      <c r="F34" s="178"/>
    </row>
    <row r="35" spans="1:6" x14ac:dyDescent="0.25">
      <c r="A35" s="170"/>
      <c r="B35" s="123"/>
      <c r="C35" s="127"/>
      <c r="D35" s="176"/>
      <c r="E35" s="177"/>
      <c r="F35" s="178"/>
    </row>
    <row r="38" spans="1:6" x14ac:dyDescent="0.25">
      <c r="A38" s="5" t="s">
        <v>236</v>
      </c>
      <c r="B38" s="179"/>
      <c r="C38" s="179"/>
    </row>
    <row r="39" spans="1:6" x14ac:dyDescent="0.25">
      <c r="A39" s="5" t="s">
        <v>237</v>
      </c>
      <c r="B39" s="179"/>
      <c r="C39" s="179"/>
    </row>
    <row r="40" spans="1:6" x14ac:dyDescent="0.25">
      <c r="A40" s="5" t="s">
        <v>238</v>
      </c>
      <c r="B40" s="179"/>
      <c r="C40" s="179"/>
    </row>
  </sheetData>
  <sheetProtection selectLockedCells="1"/>
  <mergeCells count="17">
    <mergeCell ref="C29:F29"/>
    <mergeCell ref="A30:A35"/>
    <mergeCell ref="B38:C38"/>
    <mergeCell ref="B39:C39"/>
    <mergeCell ref="B40:C40"/>
    <mergeCell ref="D30:F30"/>
    <mergeCell ref="D31:F31"/>
    <mergeCell ref="D32:F32"/>
    <mergeCell ref="D33:F33"/>
    <mergeCell ref="D34:F34"/>
    <mergeCell ref="D35:F35"/>
    <mergeCell ref="B24:F26"/>
    <mergeCell ref="B4:F4"/>
    <mergeCell ref="B11:C11"/>
    <mergeCell ref="B12:C12"/>
    <mergeCell ref="B14:C14"/>
    <mergeCell ref="B17:C17"/>
  </mergeCells>
  <pageMargins left="0.59055118110236227" right="0.39370078740157483" top="1.1811023622047245" bottom="0.78740157480314965" header="0.31496062992125984" footer="0.31496062992125984"/>
  <pageSetup paperSize="9" orientation="portrait" r:id="rId1"/>
  <headerFooter>
    <oddHeader>&amp;L&amp;G&amp;R&amp;G</oddHeader>
    <oddFooter>&amp;LPowered by Argast Informatik- und Elektroengineering, Laufenburg&amp;R&amp;D : &amp;T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F497098F-98C9-4139-98B6-A73D47A92EFE}">
          <x14:formula1>
            <xm:f>BasisDaten!$B$37:$B$40</xm:f>
          </x14:formula1>
          <xm:sqref>B14:C14</xm:sqref>
        </x14:dataValidation>
        <x14:dataValidation type="list" allowBlank="1" showInputMessage="1" showErrorMessage="1" xr:uid="{3F9153C1-5334-44CC-9853-9AAB2CE5252F}">
          <x14:formula1>
            <xm:f>BasisDaten!$A$66:$A$71</xm:f>
          </x14:formula1>
          <xm:sqref>B17:C17</xm:sqref>
        </x14:dataValidation>
        <x14:dataValidation type="list" allowBlank="1" showInputMessage="1" showErrorMessage="1" xr:uid="{50F9A099-A122-4DFC-847B-E44F34067A85}">
          <x14:formula1>
            <xm:f>BasisDaten!$B$31:$B$35</xm:f>
          </x14:formula1>
          <xm:sqref>B12</xm:sqref>
        </x14:dataValidation>
        <x14:dataValidation type="list" allowBlank="1" showInputMessage="1" showErrorMessage="1" xr:uid="{41EF3891-F75D-4A1D-9E11-53E6411A5765}">
          <x14:formula1>
            <xm:f>BasisDaten!$A$32:$A$35</xm:f>
          </x14:formula1>
          <xm:sqref>B11:C11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179DA-50FE-431C-8B27-3304B4A32407}">
  <sheetPr codeName="Tabelle3">
    <tabColor theme="9" tint="0.79998168889431442"/>
  </sheetPr>
  <dimension ref="A1:AK66"/>
  <sheetViews>
    <sheetView showGridLines="0" showRowColHeaders="0" showRuler="0" view="pageLayout" topLeftCell="A21" zoomScale="112" zoomScaleNormal="85" zoomScalePageLayoutView="112" workbookViewId="0">
      <selection activeCell="B8" sqref="B8:C8"/>
    </sheetView>
  </sheetViews>
  <sheetFormatPr baseColWidth="10" defaultRowHeight="15" x14ac:dyDescent="0.25"/>
  <cols>
    <col min="1" max="1" width="42.5703125" style="21" customWidth="1"/>
    <col min="2" max="2" width="11.42578125" style="21" customWidth="1"/>
    <col min="3" max="3" width="11.42578125" style="21"/>
    <col min="4" max="4" width="18.85546875" style="21" customWidth="1"/>
    <col min="5" max="5" width="14.85546875" style="21" customWidth="1"/>
    <col min="6" max="6" width="17.140625" style="21" customWidth="1"/>
    <col min="7" max="7" width="14.85546875" style="21" customWidth="1"/>
    <col min="8" max="8" width="14" style="21" customWidth="1"/>
    <col min="9" max="9" width="21" style="21" customWidth="1"/>
    <col min="10" max="10" width="19.28515625" style="21" customWidth="1"/>
    <col min="11" max="37" width="11.42578125" style="21" hidden="1" customWidth="1"/>
    <col min="38" max="41" width="11.42578125" style="21" customWidth="1"/>
    <col min="42" max="16384" width="11.42578125" style="21"/>
  </cols>
  <sheetData>
    <row r="1" spans="1:37" ht="18.75" x14ac:dyDescent="0.3">
      <c r="A1" s="75" t="s">
        <v>146</v>
      </c>
      <c r="J1" s="8" t="str">
        <f>BasisDaten!$B$1</f>
        <v>2025.06.07</v>
      </c>
    </row>
    <row r="2" spans="1:37" x14ac:dyDescent="0.25">
      <c r="A2" s="120" t="str">
        <f>IF(Grunddaten!B8="","",IF(Grunddaten!B35="",Grunddaten!B8,CONCATENATE(Grunddaten!B8,", ",Grunddaten!B35)))</f>
        <v/>
      </c>
    </row>
    <row r="3" spans="1:37" ht="15" customHeight="1" x14ac:dyDescent="0.25">
      <c r="J3" s="76"/>
    </row>
    <row r="4" spans="1:37" x14ac:dyDescent="0.25">
      <c r="A4" s="22" t="s">
        <v>9</v>
      </c>
      <c r="B4" s="77"/>
      <c r="C4" s="78"/>
      <c r="D4" s="79" t="str">
        <f>IF(C4,"Benötigte Anschlussleistung kW","")</f>
        <v/>
      </c>
      <c r="J4" s="76"/>
      <c r="K4" s="21" t="s">
        <v>64</v>
      </c>
    </row>
    <row r="5" spans="1:37" x14ac:dyDescent="0.25">
      <c r="A5" s="80" t="s">
        <v>10</v>
      </c>
      <c r="B5" s="190" t="s">
        <v>71</v>
      </c>
      <c r="C5" s="191"/>
      <c r="D5" s="81"/>
      <c r="E5" s="76"/>
      <c r="F5" s="76"/>
      <c r="G5" s="76"/>
      <c r="K5" s="21">
        <f>IF($B5=BasisDaten!$A32,1,0)</f>
        <v>0</v>
      </c>
      <c r="L5" s="21">
        <f>IF($B5=BasisDaten!$A33,1,0)</f>
        <v>0</v>
      </c>
      <c r="M5" s="21">
        <f>IF(OR($B5=BasisDaten!$A34,$B5=BasisDaten!$A35),1,0)</f>
        <v>1</v>
      </c>
    </row>
    <row r="6" spans="1:37" ht="15" customHeight="1" x14ac:dyDescent="0.25">
      <c r="A6" s="80" t="s">
        <v>12</v>
      </c>
      <c r="B6" s="190" t="s">
        <v>13</v>
      </c>
      <c r="C6" s="191"/>
      <c r="D6" s="82"/>
      <c r="E6" s="76"/>
      <c r="F6" s="76"/>
      <c r="G6" s="76"/>
      <c r="H6" s="76"/>
      <c r="I6" s="76"/>
      <c r="J6" s="76"/>
      <c r="K6" s="21">
        <f>IF($B6=BasisDaten!$A36,1,0)</f>
        <v>1</v>
      </c>
      <c r="L6" s="21">
        <f>IF($B6=BasisDaten!$A37,1,0)</f>
        <v>0</v>
      </c>
      <c r="M6" s="21">
        <f>IF($B6=BasisDaten!$A38,1,0)</f>
        <v>0</v>
      </c>
    </row>
    <row r="7" spans="1:37" x14ac:dyDescent="0.25">
      <c r="A7" s="80" t="s">
        <v>16</v>
      </c>
      <c r="B7" s="190" t="s">
        <v>66</v>
      </c>
      <c r="C7" s="191"/>
      <c r="D7" s="82"/>
      <c r="E7" s="76"/>
      <c r="F7" s="76"/>
      <c r="G7" s="76"/>
      <c r="H7" s="76"/>
      <c r="I7" s="76"/>
      <c r="J7" s="76"/>
      <c r="K7" s="21">
        <f>IF($B7=BasisDaten!$A39,1,0)</f>
        <v>0</v>
      </c>
      <c r="L7" s="21">
        <f>IF($B7=BasisDaten!$A40,1,0)</f>
        <v>1</v>
      </c>
    </row>
    <row r="8" spans="1:37" x14ac:dyDescent="0.25">
      <c r="A8" s="80" t="s">
        <v>17</v>
      </c>
      <c r="B8" s="190" t="s">
        <v>68</v>
      </c>
      <c r="C8" s="191"/>
      <c r="D8" s="82"/>
      <c r="E8" s="76"/>
      <c r="F8" s="76"/>
      <c r="G8" s="76"/>
      <c r="H8" s="76"/>
      <c r="I8" s="76"/>
      <c r="J8" s="76"/>
      <c r="K8" s="21">
        <f>IF($B8=BasisDaten!$A41,1,0)</f>
        <v>0</v>
      </c>
      <c r="L8" s="21">
        <f>IF($B8=BasisDaten!$A42,1,0)</f>
        <v>1</v>
      </c>
      <c r="S8" s="62"/>
    </row>
    <row r="9" spans="1:37" ht="15" customHeight="1" x14ac:dyDescent="0.25">
      <c r="A9" s="80" t="s">
        <v>18</v>
      </c>
      <c r="B9" s="190" t="s">
        <v>73</v>
      </c>
      <c r="C9" s="191"/>
      <c r="D9" s="82"/>
      <c r="F9" s="76"/>
      <c r="G9" s="76"/>
      <c r="H9" s="76"/>
      <c r="I9" s="76"/>
      <c r="J9" s="76"/>
      <c r="K9" s="21">
        <f>IF($B9=BasisDaten!$A43,1,0)</f>
        <v>0</v>
      </c>
      <c r="L9" s="21">
        <f>IF($B9=BasisDaten!$A44,1,0)</f>
        <v>0</v>
      </c>
      <c r="M9" s="21">
        <f>IF($B9=BasisDaten!$A45,1,0)</f>
        <v>0</v>
      </c>
    </row>
    <row r="10" spans="1:37" ht="14.25" customHeight="1" x14ac:dyDescent="0.25">
      <c r="A10" s="80" t="s">
        <v>75</v>
      </c>
      <c r="B10" s="190" t="s">
        <v>110</v>
      </c>
      <c r="C10" s="191"/>
      <c r="D10" s="82"/>
      <c r="E10" s="76"/>
      <c r="F10" s="76"/>
      <c r="G10" s="76"/>
      <c r="H10" s="76"/>
      <c r="I10" s="76"/>
      <c r="J10" s="76"/>
      <c r="K10" s="21">
        <f>SUM(K5:K9)</f>
        <v>1</v>
      </c>
      <c r="L10" s="21">
        <f>SUM(L5:L9)</f>
        <v>2</v>
      </c>
      <c r="M10" s="21">
        <f>SUM(M5:M9)</f>
        <v>1</v>
      </c>
    </row>
    <row r="11" spans="1:37" x14ac:dyDescent="0.25">
      <c r="E11" s="189" t="s">
        <v>57</v>
      </c>
      <c r="F11" s="189"/>
      <c r="G11" s="189"/>
      <c r="H11" s="189"/>
      <c r="I11" s="189"/>
      <c r="J11" s="189"/>
      <c r="K11" s="21">
        <v>15</v>
      </c>
      <c r="L11" s="21">
        <v>11</v>
      </c>
      <c r="M11" s="21">
        <v>8</v>
      </c>
    </row>
    <row r="12" spans="1:37" x14ac:dyDescent="0.25">
      <c r="A12" s="83" t="s">
        <v>19</v>
      </c>
    </row>
    <row r="13" spans="1:37" ht="43.5" customHeight="1" x14ac:dyDescent="0.25">
      <c r="A13" s="192" t="s">
        <v>20</v>
      </c>
      <c r="B13" s="84" t="s">
        <v>4</v>
      </c>
      <c r="C13" s="84" t="s">
        <v>6</v>
      </c>
      <c r="D13" s="85" t="s">
        <v>3</v>
      </c>
      <c r="E13" s="85" t="s">
        <v>34</v>
      </c>
      <c r="F13" s="85" t="s">
        <v>35</v>
      </c>
      <c r="G13" s="85" t="s">
        <v>41</v>
      </c>
      <c r="H13" s="85" t="s">
        <v>43</v>
      </c>
      <c r="I13" s="85" t="s">
        <v>40</v>
      </c>
      <c r="J13" s="86" t="s">
        <v>36</v>
      </c>
    </row>
    <row r="14" spans="1:37" ht="20.25" customHeight="1" x14ac:dyDescent="0.25">
      <c r="A14" s="192"/>
      <c r="B14" s="84" t="s">
        <v>5</v>
      </c>
      <c r="C14" s="84" t="s">
        <v>7</v>
      </c>
      <c r="D14" s="85" t="s">
        <v>8</v>
      </c>
      <c r="E14" s="85" t="s">
        <v>21</v>
      </c>
      <c r="F14" s="85" t="s">
        <v>21</v>
      </c>
      <c r="G14" s="85" t="s">
        <v>21</v>
      </c>
      <c r="H14" s="85" t="s">
        <v>21</v>
      </c>
      <c r="I14" s="85" t="s">
        <v>21</v>
      </c>
      <c r="J14" s="86" t="s">
        <v>60</v>
      </c>
    </row>
    <row r="15" spans="1:37" x14ac:dyDescent="0.25">
      <c r="A15" s="23" t="s">
        <v>117</v>
      </c>
      <c r="B15" s="24"/>
      <c r="C15" s="24"/>
      <c r="D15" s="25"/>
      <c r="E15" s="26"/>
      <c r="F15" s="26"/>
      <c r="G15" s="26"/>
      <c r="H15" s="26"/>
      <c r="I15" s="26"/>
      <c r="J15" s="87">
        <f t="shared" ref="J15:J46" si="0">$B15*$AK15*0.8/1000</f>
        <v>0</v>
      </c>
      <c r="K15" s="88">
        <f>IF($B$10=BasisDaten!$A$74,1,0)</f>
        <v>0</v>
      </c>
      <c r="L15" s="88">
        <f>IF($B$10=BasisDaten!$A$75,1,0)</f>
        <v>0</v>
      </c>
      <c r="M15" s="88">
        <f>IF($B$10=BasisDaten!$A$76,1,0)</f>
        <v>1</v>
      </c>
      <c r="N15" s="89">
        <f>IF($E15=BasisDaten!$A$49,1,0)</f>
        <v>0</v>
      </c>
      <c r="O15" s="89">
        <f>IF($E15=BasisDaten!$A$50,1,0)</f>
        <v>0</v>
      </c>
      <c r="P15" s="89">
        <f>IF($E15=BasisDaten!$A$51,1,0)</f>
        <v>0</v>
      </c>
      <c r="Q15" s="88">
        <f>IF($F15=BasisDaten!$A$53,1,0)</f>
        <v>0</v>
      </c>
      <c r="R15" s="88">
        <f>IF($F15=BasisDaten!$A$54,1,0)</f>
        <v>0</v>
      </c>
      <c r="S15" s="88">
        <f>IF($F15=BasisDaten!$A$55,1,0)</f>
        <v>0</v>
      </c>
      <c r="T15" s="89">
        <f>IF($G15=BasisDaten!$A$56,1,0)</f>
        <v>0</v>
      </c>
      <c r="U15" s="89">
        <f>IF($G15=BasisDaten!$A$57,1,0)</f>
        <v>0</v>
      </c>
      <c r="V15" s="89">
        <f>IF($G15=BasisDaten!$A$58,1,0)</f>
        <v>0</v>
      </c>
      <c r="W15" s="88">
        <f>IF($H15=BasisDaten!$A$60,1,0)</f>
        <v>0</v>
      </c>
      <c r="X15" s="88">
        <f>IF($H15=BasisDaten!$A$61,1,0)</f>
        <v>0</v>
      </c>
      <c r="Y15" s="88">
        <f>IF($H15=BasisDaten!$A$62,1,0)</f>
        <v>0</v>
      </c>
      <c r="Z15" s="89">
        <f>IF($I15=BasisDaten!$A$63,1,0)</f>
        <v>0</v>
      </c>
      <c r="AA15" s="89">
        <f>IF($I15=BasisDaten!$A$64,1,0)</f>
        <v>0</v>
      </c>
      <c r="AB15" s="89">
        <f>IF($I15=BasisDaten!$A$65,1,0)</f>
        <v>0</v>
      </c>
      <c r="AC15" s="89">
        <f>IF(Z15=1,1.3,IF(AA15=1,1,0.7))</f>
        <v>0.7</v>
      </c>
      <c r="AD15" s="88">
        <f t="shared" ref="AD15:AD64" si="1">$K$10+K15+N15+Q15+T15+W15</f>
        <v>1</v>
      </c>
      <c r="AE15" s="88">
        <f t="shared" ref="AE15:AE64" si="2">$L$10+L15+O15+R15+U15+X15</f>
        <v>2</v>
      </c>
      <c r="AF15" s="88">
        <f t="shared" ref="AF15:AF64" si="3">$M$10+M15+P15+S15+V15+Y15</f>
        <v>2</v>
      </c>
      <c r="AG15" s="89">
        <f t="shared" ref="AG15:AG64" si="4">$K$11*AD15</f>
        <v>15</v>
      </c>
      <c r="AH15" s="89">
        <f t="shared" ref="AH15:AH64" si="5">$L$11*AE15</f>
        <v>22</v>
      </c>
      <c r="AI15" s="89">
        <f t="shared" ref="AI15:AI64" si="6">$M$11*AF15</f>
        <v>16</v>
      </c>
      <c r="AJ15" s="21">
        <f>SUM(AG15:AI15)</f>
        <v>53</v>
      </c>
      <c r="AK15" s="21">
        <f>AJ15*AC15</f>
        <v>37.099999999999994</v>
      </c>
    </row>
    <row r="16" spans="1:37" x14ac:dyDescent="0.25">
      <c r="A16" s="23" t="s">
        <v>118</v>
      </c>
      <c r="B16" s="24"/>
      <c r="C16" s="24"/>
      <c r="D16" s="25"/>
      <c r="E16" s="26"/>
      <c r="F16" s="26"/>
      <c r="G16" s="26"/>
      <c r="H16" s="26"/>
      <c r="I16" s="26"/>
      <c r="J16" s="87">
        <f t="shared" si="0"/>
        <v>0</v>
      </c>
      <c r="K16" s="88">
        <f>IF($B$10=BasisDaten!$A$74,1,0)</f>
        <v>0</v>
      </c>
      <c r="L16" s="88">
        <f>IF($B$10=BasisDaten!$A$75,1,0)</f>
        <v>0</v>
      </c>
      <c r="M16" s="88">
        <f>IF($B$10=BasisDaten!$A$76,1,0)</f>
        <v>1</v>
      </c>
      <c r="N16" s="89">
        <f>IF($E16=BasisDaten!$A$49,1,0)</f>
        <v>0</v>
      </c>
      <c r="O16" s="89">
        <f>IF($E16=BasisDaten!$A$50,1,0)</f>
        <v>0</v>
      </c>
      <c r="P16" s="89">
        <f>IF($E16=BasisDaten!$A$51,1,0)</f>
        <v>0</v>
      </c>
      <c r="Q16" s="88">
        <f>IF($F16=BasisDaten!$A$53,1,0)</f>
        <v>0</v>
      </c>
      <c r="R16" s="88">
        <f>IF($F16=BasisDaten!$A$54,1,0)</f>
        <v>0</v>
      </c>
      <c r="S16" s="88">
        <f>IF($F16=BasisDaten!$A$55,1,0)</f>
        <v>0</v>
      </c>
      <c r="T16" s="89">
        <f>IF($G16=BasisDaten!$A$56,1,0)</f>
        <v>0</v>
      </c>
      <c r="U16" s="89">
        <f>IF($G16=BasisDaten!$A$57,1,0)</f>
        <v>0</v>
      </c>
      <c r="V16" s="89">
        <f>IF($G16=BasisDaten!$A$58,1,0)</f>
        <v>0</v>
      </c>
      <c r="W16" s="88">
        <f>IF($H16=BasisDaten!$A$60,1,0)</f>
        <v>0</v>
      </c>
      <c r="X16" s="88">
        <f>IF($H16=BasisDaten!$A$61,1,0)</f>
        <v>0</v>
      </c>
      <c r="Y16" s="88">
        <f>IF($H16=BasisDaten!$A$62,1,0)</f>
        <v>0</v>
      </c>
      <c r="Z16" s="89">
        <f>IF($I16=BasisDaten!$A$63,1,0)</f>
        <v>0</v>
      </c>
      <c r="AA16" s="89">
        <f>IF($I16=BasisDaten!$A$64,1,0)</f>
        <v>0</v>
      </c>
      <c r="AB16" s="89">
        <f>IF($I16=BasisDaten!$A$65,1,0)</f>
        <v>0</v>
      </c>
      <c r="AC16" s="89">
        <f t="shared" ref="AC16:AC64" si="7">IF(Z16=1,1.3,IF(AA16=1,1,0.7))</f>
        <v>0.7</v>
      </c>
      <c r="AD16" s="88">
        <f t="shared" si="1"/>
        <v>1</v>
      </c>
      <c r="AE16" s="88">
        <f t="shared" si="2"/>
        <v>2</v>
      </c>
      <c r="AF16" s="88">
        <f t="shared" si="3"/>
        <v>2</v>
      </c>
      <c r="AG16" s="89">
        <f t="shared" si="4"/>
        <v>15</v>
      </c>
      <c r="AH16" s="89">
        <f t="shared" si="5"/>
        <v>22</v>
      </c>
      <c r="AI16" s="89">
        <f t="shared" si="6"/>
        <v>16</v>
      </c>
      <c r="AJ16" s="21">
        <f t="shared" ref="AJ16:AJ49" si="8">SUM(AG16:AI16)</f>
        <v>53</v>
      </c>
      <c r="AK16" s="21">
        <f t="shared" ref="AK16:AK64" si="9">AJ16*AC16</f>
        <v>37.099999999999994</v>
      </c>
    </row>
    <row r="17" spans="1:37" x14ac:dyDescent="0.25">
      <c r="A17" s="23" t="s">
        <v>119</v>
      </c>
      <c r="B17" s="24"/>
      <c r="C17" s="24"/>
      <c r="D17" s="25"/>
      <c r="E17" s="26"/>
      <c r="F17" s="26"/>
      <c r="G17" s="26"/>
      <c r="H17" s="26"/>
      <c r="I17" s="26"/>
      <c r="J17" s="87">
        <f t="shared" si="0"/>
        <v>0</v>
      </c>
      <c r="K17" s="88">
        <f>IF($B$10=BasisDaten!$A$74,1,0)</f>
        <v>0</v>
      </c>
      <c r="L17" s="88">
        <f>IF($B$10=BasisDaten!$A$75,1,0)</f>
        <v>0</v>
      </c>
      <c r="M17" s="88">
        <f>IF($B$10=BasisDaten!$A$76,1,0)</f>
        <v>1</v>
      </c>
      <c r="N17" s="89">
        <f>IF($E17=BasisDaten!$A$49,1,0)</f>
        <v>0</v>
      </c>
      <c r="O17" s="89">
        <f>IF($E17=BasisDaten!$A$50,1,0)</f>
        <v>0</v>
      </c>
      <c r="P17" s="89">
        <f>IF($E17=BasisDaten!$A$51,1,0)</f>
        <v>0</v>
      </c>
      <c r="Q17" s="88">
        <f>IF($F17=BasisDaten!$A$53,1,0)</f>
        <v>0</v>
      </c>
      <c r="R17" s="88">
        <f>IF($F17=BasisDaten!$A$54,1,0)</f>
        <v>0</v>
      </c>
      <c r="S17" s="88">
        <f>IF($F17=BasisDaten!$A$55,1,0)</f>
        <v>0</v>
      </c>
      <c r="T17" s="89">
        <f>IF($G17=BasisDaten!$A$56,1,0)</f>
        <v>0</v>
      </c>
      <c r="U17" s="89">
        <f>IF($G17=BasisDaten!$A$57,1,0)</f>
        <v>0</v>
      </c>
      <c r="V17" s="89">
        <f>IF($G17=BasisDaten!$A$58,1,0)</f>
        <v>0</v>
      </c>
      <c r="W17" s="88">
        <f>IF($H17=BasisDaten!$A$60,1,0)</f>
        <v>0</v>
      </c>
      <c r="X17" s="88">
        <f>IF($H17=BasisDaten!$A$61,1,0)</f>
        <v>0</v>
      </c>
      <c r="Y17" s="88">
        <f>IF($H17=BasisDaten!$A$62,1,0)</f>
        <v>0</v>
      </c>
      <c r="Z17" s="89">
        <f>IF($I17=BasisDaten!$A$63,1,0)</f>
        <v>0</v>
      </c>
      <c r="AA17" s="89">
        <f>IF($I17=BasisDaten!$A$64,1,0)</f>
        <v>0</v>
      </c>
      <c r="AB17" s="89">
        <f>IF($I17=BasisDaten!$A$65,1,0)</f>
        <v>0</v>
      </c>
      <c r="AC17" s="89">
        <f t="shared" si="7"/>
        <v>0.7</v>
      </c>
      <c r="AD17" s="88">
        <f t="shared" si="1"/>
        <v>1</v>
      </c>
      <c r="AE17" s="88">
        <f t="shared" si="2"/>
        <v>2</v>
      </c>
      <c r="AF17" s="88">
        <f t="shared" si="3"/>
        <v>2</v>
      </c>
      <c r="AG17" s="89">
        <f t="shared" si="4"/>
        <v>15</v>
      </c>
      <c r="AH17" s="89">
        <f t="shared" si="5"/>
        <v>22</v>
      </c>
      <c r="AI17" s="89">
        <f t="shared" si="6"/>
        <v>16</v>
      </c>
      <c r="AJ17" s="21">
        <f t="shared" si="8"/>
        <v>53</v>
      </c>
      <c r="AK17" s="21">
        <f t="shared" si="9"/>
        <v>37.099999999999994</v>
      </c>
    </row>
    <row r="18" spans="1:37" x14ac:dyDescent="0.25">
      <c r="A18" s="23" t="s">
        <v>120</v>
      </c>
      <c r="B18" s="24"/>
      <c r="C18" s="24"/>
      <c r="D18" s="25"/>
      <c r="E18" s="26"/>
      <c r="F18" s="26"/>
      <c r="G18" s="26"/>
      <c r="H18" s="26"/>
      <c r="I18" s="26"/>
      <c r="J18" s="87">
        <f t="shared" si="0"/>
        <v>0</v>
      </c>
      <c r="K18" s="88">
        <f>IF($B$10=BasisDaten!$A$74,1,0)</f>
        <v>0</v>
      </c>
      <c r="L18" s="88">
        <f>IF($B$10=BasisDaten!$A$75,1,0)</f>
        <v>0</v>
      </c>
      <c r="M18" s="88">
        <f>IF($B$10=BasisDaten!$A$76,1,0)</f>
        <v>1</v>
      </c>
      <c r="N18" s="89">
        <f>IF($E18=BasisDaten!$A$49,1,0)</f>
        <v>0</v>
      </c>
      <c r="O18" s="89">
        <f>IF($E18=BasisDaten!$A$50,1,0)</f>
        <v>0</v>
      </c>
      <c r="P18" s="89">
        <f>IF($E18=BasisDaten!$A$51,1,0)</f>
        <v>0</v>
      </c>
      <c r="Q18" s="88">
        <f>IF($F18=BasisDaten!$A$53,1,0)</f>
        <v>0</v>
      </c>
      <c r="R18" s="88">
        <f>IF($F18=BasisDaten!$A$54,1,0)</f>
        <v>0</v>
      </c>
      <c r="S18" s="88">
        <f>IF($F18=BasisDaten!$A$55,1,0)</f>
        <v>0</v>
      </c>
      <c r="T18" s="89">
        <f>IF($G18=BasisDaten!$A$56,1,0)</f>
        <v>0</v>
      </c>
      <c r="U18" s="89">
        <f>IF($G18=BasisDaten!$A$57,1,0)</f>
        <v>0</v>
      </c>
      <c r="V18" s="89">
        <f>IF($G18=BasisDaten!$A$58,1,0)</f>
        <v>0</v>
      </c>
      <c r="W18" s="88">
        <f>IF($H18=BasisDaten!$A$60,1,0)</f>
        <v>0</v>
      </c>
      <c r="X18" s="88">
        <f>IF($H18=BasisDaten!$A$61,1,0)</f>
        <v>0</v>
      </c>
      <c r="Y18" s="88">
        <f>IF($H18=BasisDaten!$A$62,1,0)</f>
        <v>0</v>
      </c>
      <c r="Z18" s="89">
        <f>IF($I18=BasisDaten!$A$63,1,0)</f>
        <v>0</v>
      </c>
      <c r="AA18" s="89">
        <f>IF($I18=BasisDaten!$A$64,1,0)</f>
        <v>0</v>
      </c>
      <c r="AB18" s="89">
        <f>IF($I18=BasisDaten!$A$65,1,0)</f>
        <v>0</v>
      </c>
      <c r="AC18" s="89">
        <f t="shared" si="7"/>
        <v>0.7</v>
      </c>
      <c r="AD18" s="88">
        <f t="shared" si="1"/>
        <v>1</v>
      </c>
      <c r="AE18" s="88">
        <f t="shared" si="2"/>
        <v>2</v>
      </c>
      <c r="AF18" s="88">
        <f t="shared" si="3"/>
        <v>2</v>
      </c>
      <c r="AG18" s="89">
        <f t="shared" si="4"/>
        <v>15</v>
      </c>
      <c r="AH18" s="89">
        <f t="shared" si="5"/>
        <v>22</v>
      </c>
      <c r="AI18" s="89">
        <f t="shared" si="6"/>
        <v>16</v>
      </c>
      <c r="AJ18" s="21">
        <f t="shared" si="8"/>
        <v>53</v>
      </c>
      <c r="AK18" s="21">
        <f t="shared" si="9"/>
        <v>37.099999999999994</v>
      </c>
    </row>
    <row r="19" spans="1:37" x14ac:dyDescent="0.25">
      <c r="A19" s="23" t="s">
        <v>121</v>
      </c>
      <c r="B19" s="24"/>
      <c r="C19" s="24"/>
      <c r="D19" s="25"/>
      <c r="E19" s="26"/>
      <c r="F19" s="26"/>
      <c r="G19" s="26"/>
      <c r="H19" s="26"/>
      <c r="I19" s="26"/>
      <c r="J19" s="87">
        <f t="shared" si="0"/>
        <v>0</v>
      </c>
      <c r="K19" s="88">
        <f>IF($B$10=BasisDaten!$A$74,1,0)</f>
        <v>0</v>
      </c>
      <c r="L19" s="88">
        <f>IF($B$10=BasisDaten!$A$75,1,0)</f>
        <v>0</v>
      </c>
      <c r="M19" s="88">
        <f>IF($B$10=BasisDaten!$A$76,1,0)</f>
        <v>1</v>
      </c>
      <c r="N19" s="89">
        <f>IF($E19=BasisDaten!$A$49,1,0)</f>
        <v>0</v>
      </c>
      <c r="O19" s="89">
        <f>IF($E19=BasisDaten!$A$50,1,0)</f>
        <v>0</v>
      </c>
      <c r="P19" s="89">
        <f>IF($E19=BasisDaten!$A$51,1,0)</f>
        <v>0</v>
      </c>
      <c r="Q19" s="88">
        <f>IF($F19=BasisDaten!$A$53,1,0)</f>
        <v>0</v>
      </c>
      <c r="R19" s="88">
        <f>IF($F19=BasisDaten!$A$54,1,0)</f>
        <v>0</v>
      </c>
      <c r="S19" s="88">
        <f>IF($F19=BasisDaten!$A$55,1,0)</f>
        <v>0</v>
      </c>
      <c r="T19" s="89">
        <f>IF($G19=BasisDaten!$A$56,1,0)</f>
        <v>0</v>
      </c>
      <c r="U19" s="89">
        <f>IF($G19=BasisDaten!$A$57,1,0)</f>
        <v>0</v>
      </c>
      <c r="V19" s="89">
        <f>IF($G19=BasisDaten!$A$58,1,0)</f>
        <v>0</v>
      </c>
      <c r="W19" s="88">
        <f>IF($H19=BasisDaten!$A$60,1,0)</f>
        <v>0</v>
      </c>
      <c r="X19" s="88">
        <f>IF($H19=BasisDaten!$A$61,1,0)</f>
        <v>0</v>
      </c>
      <c r="Y19" s="88">
        <f>IF($H19=BasisDaten!$A$62,1,0)</f>
        <v>0</v>
      </c>
      <c r="Z19" s="89">
        <f>IF($I19=BasisDaten!$A$63,1,0)</f>
        <v>0</v>
      </c>
      <c r="AA19" s="89">
        <f>IF($I19=BasisDaten!$A$64,1,0)</f>
        <v>0</v>
      </c>
      <c r="AB19" s="89">
        <f>IF($I19=BasisDaten!$A$65,1,0)</f>
        <v>0</v>
      </c>
      <c r="AC19" s="89">
        <f t="shared" si="7"/>
        <v>0.7</v>
      </c>
      <c r="AD19" s="88">
        <f t="shared" si="1"/>
        <v>1</v>
      </c>
      <c r="AE19" s="88">
        <f t="shared" si="2"/>
        <v>2</v>
      </c>
      <c r="AF19" s="88">
        <f t="shared" si="3"/>
        <v>2</v>
      </c>
      <c r="AG19" s="89">
        <f t="shared" si="4"/>
        <v>15</v>
      </c>
      <c r="AH19" s="89">
        <f t="shared" si="5"/>
        <v>22</v>
      </c>
      <c r="AI19" s="89">
        <f t="shared" si="6"/>
        <v>16</v>
      </c>
      <c r="AJ19" s="21">
        <f t="shared" si="8"/>
        <v>53</v>
      </c>
      <c r="AK19" s="21">
        <f t="shared" si="9"/>
        <v>37.099999999999994</v>
      </c>
    </row>
    <row r="20" spans="1:37" x14ac:dyDescent="0.25">
      <c r="A20" s="23" t="s">
        <v>122</v>
      </c>
      <c r="B20" s="24"/>
      <c r="C20" s="24"/>
      <c r="D20" s="25"/>
      <c r="E20" s="26"/>
      <c r="F20" s="26"/>
      <c r="G20" s="26"/>
      <c r="H20" s="26"/>
      <c r="I20" s="26"/>
      <c r="J20" s="87">
        <f t="shared" si="0"/>
        <v>0</v>
      </c>
      <c r="K20" s="88">
        <f>IF($B$10=BasisDaten!$A$74,1,0)</f>
        <v>0</v>
      </c>
      <c r="L20" s="88">
        <f>IF($B$10=BasisDaten!$A$75,1,0)</f>
        <v>0</v>
      </c>
      <c r="M20" s="88">
        <f>IF($B$10=BasisDaten!$A$76,1,0)</f>
        <v>1</v>
      </c>
      <c r="N20" s="89">
        <f>IF($E20=BasisDaten!$A$49,1,0)</f>
        <v>0</v>
      </c>
      <c r="O20" s="89">
        <f>IF($E20=BasisDaten!$A$50,1,0)</f>
        <v>0</v>
      </c>
      <c r="P20" s="89">
        <f>IF($E20=BasisDaten!$A$51,1,0)</f>
        <v>0</v>
      </c>
      <c r="Q20" s="88">
        <f>IF($F20=BasisDaten!$A$53,1,0)</f>
        <v>0</v>
      </c>
      <c r="R20" s="88">
        <f>IF($F20=BasisDaten!$A$54,1,0)</f>
        <v>0</v>
      </c>
      <c r="S20" s="88">
        <f>IF($F20=BasisDaten!$A$55,1,0)</f>
        <v>0</v>
      </c>
      <c r="T20" s="89">
        <f>IF($G20=BasisDaten!$A$56,1,0)</f>
        <v>0</v>
      </c>
      <c r="U20" s="89">
        <f>IF($G20=BasisDaten!$A$57,1,0)</f>
        <v>0</v>
      </c>
      <c r="V20" s="89">
        <f>IF($G20=BasisDaten!$A$58,1,0)</f>
        <v>0</v>
      </c>
      <c r="W20" s="88">
        <f>IF($H20=BasisDaten!$A$60,1,0)</f>
        <v>0</v>
      </c>
      <c r="X20" s="88">
        <f>IF($H20=BasisDaten!$A$61,1,0)</f>
        <v>0</v>
      </c>
      <c r="Y20" s="88">
        <f>IF($H20=BasisDaten!$A$62,1,0)</f>
        <v>0</v>
      </c>
      <c r="Z20" s="89">
        <f>IF($I20=BasisDaten!$A$63,1,0)</f>
        <v>0</v>
      </c>
      <c r="AA20" s="89">
        <f>IF($I20=BasisDaten!$A$64,1,0)</f>
        <v>0</v>
      </c>
      <c r="AB20" s="89">
        <f>IF($I20=BasisDaten!$A$65,1,0)</f>
        <v>0</v>
      </c>
      <c r="AC20" s="89">
        <f t="shared" si="7"/>
        <v>0.7</v>
      </c>
      <c r="AD20" s="88">
        <f t="shared" si="1"/>
        <v>1</v>
      </c>
      <c r="AE20" s="88">
        <f t="shared" si="2"/>
        <v>2</v>
      </c>
      <c r="AF20" s="88">
        <f t="shared" si="3"/>
        <v>2</v>
      </c>
      <c r="AG20" s="89">
        <f t="shared" si="4"/>
        <v>15</v>
      </c>
      <c r="AH20" s="89">
        <f t="shared" si="5"/>
        <v>22</v>
      </c>
      <c r="AI20" s="89">
        <f t="shared" si="6"/>
        <v>16</v>
      </c>
      <c r="AJ20" s="21">
        <f t="shared" si="8"/>
        <v>53</v>
      </c>
      <c r="AK20" s="21">
        <f t="shared" si="9"/>
        <v>37.099999999999994</v>
      </c>
    </row>
    <row r="21" spans="1:37" x14ac:dyDescent="0.25">
      <c r="A21" s="23" t="s">
        <v>123</v>
      </c>
      <c r="B21" s="24"/>
      <c r="C21" s="24"/>
      <c r="D21" s="25"/>
      <c r="E21" s="26"/>
      <c r="F21" s="26"/>
      <c r="G21" s="26"/>
      <c r="H21" s="26"/>
      <c r="I21" s="26"/>
      <c r="J21" s="87">
        <f t="shared" si="0"/>
        <v>0</v>
      </c>
      <c r="K21" s="88">
        <f>IF($B$10=BasisDaten!$A$74,1,0)</f>
        <v>0</v>
      </c>
      <c r="L21" s="88">
        <f>IF($B$10=BasisDaten!$A$75,1,0)</f>
        <v>0</v>
      </c>
      <c r="M21" s="88">
        <f>IF($B$10=BasisDaten!$A$76,1,0)</f>
        <v>1</v>
      </c>
      <c r="N21" s="89">
        <f>IF($E21=BasisDaten!$A$49,1,0)</f>
        <v>0</v>
      </c>
      <c r="O21" s="89">
        <f>IF($E21=BasisDaten!$A$50,1,0)</f>
        <v>0</v>
      </c>
      <c r="P21" s="89">
        <f>IF($E21=BasisDaten!$A$51,1,0)</f>
        <v>0</v>
      </c>
      <c r="Q21" s="88">
        <f>IF($F21=BasisDaten!$A$53,1,0)</f>
        <v>0</v>
      </c>
      <c r="R21" s="88">
        <f>IF($F21=BasisDaten!$A$54,1,0)</f>
        <v>0</v>
      </c>
      <c r="S21" s="88">
        <f>IF($F21=BasisDaten!$A$55,1,0)</f>
        <v>0</v>
      </c>
      <c r="T21" s="89">
        <f>IF($G21=BasisDaten!$A$56,1,0)</f>
        <v>0</v>
      </c>
      <c r="U21" s="89">
        <f>IF($G21=BasisDaten!$A$57,1,0)</f>
        <v>0</v>
      </c>
      <c r="V21" s="89">
        <f>IF($G21=BasisDaten!$A$58,1,0)</f>
        <v>0</v>
      </c>
      <c r="W21" s="88">
        <f>IF($H21=BasisDaten!$A$60,1,0)</f>
        <v>0</v>
      </c>
      <c r="X21" s="88">
        <f>IF($H21=BasisDaten!$A$61,1,0)</f>
        <v>0</v>
      </c>
      <c r="Y21" s="88">
        <f>IF($H21=BasisDaten!$A$62,1,0)</f>
        <v>0</v>
      </c>
      <c r="Z21" s="89">
        <f>IF($I21=BasisDaten!$A$63,1,0)</f>
        <v>0</v>
      </c>
      <c r="AA21" s="89">
        <f>IF($I21=BasisDaten!$A$64,1,0)</f>
        <v>0</v>
      </c>
      <c r="AB21" s="89">
        <f>IF($I21=BasisDaten!$A$65,1,0)</f>
        <v>0</v>
      </c>
      <c r="AC21" s="89">
        <f t="shared" si="7"/>
        <v>0.7</v>
      </c>
      <c r="AD21" s="88">
        <f t="shared" si="1"/>
        <v>1</v>
      </c>
      <c r="AE21" s="88">
        <f t="shared" si="2"/>
        <v>2</v>
      </c>
      <c r="AF21" s="88">
        <f t="shared" si="3"/>
        <v>2</v>
      </c>
      <c r="AG21" s="89">
        <f t="shared" si="4"/>
        <v>15</v>
      </c>
      <c r="AH21" s="89">
        <f t="shared" si="5"/>
        <v>22</v>
      </c>
      <c r="AI21" s="89">
        <f t="shared" si="6"/>
        <v>16</v>
      </c>
      <c r="AJ21" s="21">
        <f t="shared" si="8"/>
        <v>53</v>
      </c>
      <c r="AK21" s="21">
        <f t="shared" si="9"/>
        <v>37.099999999999994</v>
      </c>
    </row>
    <row r="22" spans="1:37" x14ac:dyDescent="0.25">
      <c r="A22" s="23" t="s">
        <v>124</v>
      </c>
      <c r="B22" s="24"/>
      <c r="C22" s="24"/>
      <c r="D22" s="25"/>
      <c r="E22" s="26"/>
      <c r="F22" s="26"/>
      <c r="G22" s="26"/>
      <c r="H22" s="26"/>
      <c r="I22" s="26"/>
      <c r="J22" s="87">
        <f t="shared" si="0"/>
        <v>0</v>
      </c>
      <c r="K22" s="88">
        <f>IF($B$10=BasisDaten!$A$74,1,0)</f>
        <v>0</v>
      </c>
      <c r="L22" s="88">
        <f>IF($B$10=BasisDaten!$A$75,1,0)</f>
        <v>0</v>
      </c>
      <c r="M22" s="88">
        <f>IF($B$10=BasisDaten!$A$76,1,0)</f>
        <v>1</v>
      </c>
      <c r="N22" s="89">
        <f>IF($E22=BasisDaten!$A$49,1,0)</f>
        <v>0</v>
      </c>
      <c r="O22" s="89">
        <f>IF($E22=BasisDaten!$A$50,1,0)</f>
        <v>0</v>
      </c>
      <c r="P22" s="89">
        <f>IF($E22=BasisDaten!$A$51,1,0)</f>
        <v>0</v>
      </c>
      <c r="Q22" s="88">
        <f>IF($F22=BasisDaten!$A$53,1,0)</f>
        <v>0</v>
      </c>
      <c r="R22" s="88">
        <f>IF($F22=BasisDaten!$A$54,1,0)</f>
        <v>0</v>
      </c>
      <c r="S22" s="88">
        <f>IF($F22=BasisDaten!$A$55,1,0)</f>
        <v>0</v>
      </c>
      <c r="T22" s="89">
        <f>IF($G22=BasisDaten!$A$56,1,0)</f>
        <v>0</v>
      </c>
      <c r="U22" s="89">
        <f>IF($G22=BasisDaten!$A$57,1,0)</f>
        <v>0</v>
      </c>
      <c r="V22" s="89">
        <f>IF($G22=BasisDaten!$A$58,1,0)</f>
        <v>0</v>
      </c>
      <c r="W22" s="88">
        <f>IF($H22=BasisDaten!$A$60,1,0)</f>
        <v>0</v>
      </c>
      <c r="X22" s="88">
        <f>IF($H22=BasisDaten!$A$61,1,0)</f>
        <v>0</v>
      </c>
      <c r="Y22" s="88">
        <f>IF($H22=BasisDaten!$A$62,1,0)</f>
        <v>0</v>
      </c>
      <c r="Z22" s="89">
        <f>IF($I22=BasisDaten!$A$63,1,0)</f>
        <v>0</v>
      </c>
      <c r="AA22" s="89">
        <f>IF($I22=BasisDaten!$A$64,1,0)</f>
        <v>0</v>
      </c>
      <c r="AB22" s="89">
        <f>IF($I22=BasisDaten!$A$65,1,0)</f>
        <v>0</v>
      </c>
      <c r="AC22" s="89">
        <f t="shared" si="7"/>
        <v>0.7</v>
      </c>
      <c r="AD22" s="88">
        <f t="shared" si="1"/>
        <v>1</v>
      </c>
      <c r="AE22" s="88">
        <f t="shared" si="2"/>
        <v>2</v>
      </c>
      <c r="AF22" s="88">
        <f t="shared" si="3"/>
        <v>2</v>
      </c>
      <c r="AG22" s="89">
        <f t="shared" si="4"/>
        <v>15</v>
      </c>
      <c r="AH22" s="89">
        <f t="shared" si="5"/>
        <v>22</v>
      </c>
      <c r="AI22" s="89">
        <f t="shared" si="6"/>
        <v>16</v>
      </c>
      <c r="AJ22" s="21">
        <f t="shared" si="8"/>
        <v>53</v>
      </c>
      <c r="AK22" s="21">
        <f t="shared" si="9"/>
        <v>37.099999999999994</v>
      </c>
    </row>
    <row r="23" spans="1:37" x14ac:dyDescent="0.25">
      <c r="A23" s="23" t="s">
        <v>125</v>
      </c>
      <c r="B23" s="24"/>
      <c r="C23" s="24"/>
      <c r="D23" s="25"/>
      <c r="E23" s="26"/>
      <c r="F23" s="26"/>
      <c r="G23" s="26"/>
      <c r="H23" s="26"/>
      <c r="I23" s="26"/>
      <c r="J23" s="87">
        <f t="shared" si="0"/>
        <v>0</v>
      </c>
      <c r="K23" s="88">
        <f>IF($B$10=BasisDaten!$A$74,1,0)</f>
        <v>0</v>
      </c>
      <c r="L23" s="88">
        <f>IF($B$10=BasisDaten!$A$75,1,0)</f>
        <v>0</v>
      </c>
      <c r="M23" s="88">
        <f>IF($B$10=BasisDaten!$A$76,1,0)</f>
        <v>1</v>
      </c>
      <c r="N23" s="89">
        <f>IF($E23=BasisDaten!$A$49,1,0)</f>
        <v>0</v>
      </c>
      <c r="O23" s="89">
        <f>IF($E23=BasisDaten!$A$50,1,0)</f>
        <v>0</v>
      </c>
      <c r="P23" s="89">
        <f>IF($E23=BasisDaten!$A$51,1,0)</f>
        <v>0</v>
      </c>
      <c r="Q23" s="88">
        <f>IF($F23=BasisDaten!$A$53,1,0)</f>
        <v>0</v>
      </c>
      <c r="R23" s="88">
        <f>IF($F23=BasisDaten!$A$54,1,0)</f>
        <v>0</v>
      </c>
      <c r="S23" s="88">
        <f>IF($F23=BasisDaten!$A$55,1,0)</f>
        <v>0</v>
      </c>
      <c r="T23" s="89">
        <f>IF($G23=BasisDaten!$A$56,1,0)</f>
        <v>0</v>
      </c>
      <c r="U23" s="89">
        <f>IF($G23=BasisDaten!$A$57,1,0)</f>
        <v>0</v>
      </c>
      <c r="V23" s="89">
        <f>IF($G23=BasisDaten!$A$58,1,0)</f>
        <v>0</v>
      </c>
      <c r="W23" s="88">
        <f>IF($H23=BasisDaten!$A$60,1,0)</f>
        <v>0</v>
      </c>
      <c r="X23" s="88">
        <f>IF($H23=BasisDaten!$A$61,1,0)</f>
        <v>0</v>
      </c>
      <c r="Y23" s="88">
        <f>IF($H23=BasisDaten!$A$62,1,0)</f>
        <v>0</v>
      </c>
      <c r="Z23" s="89">
        <f>IF($I23=BasisDaten!$A$63,1,0)</f>
        <v>0</v>
      </c>
      <c r="AA23" s="89">
        <f>IF($I23=BasisDaten!$A$64,1,0)</f>
        <v>0</v>
      </c>
      <c r="AB23" s="89">
        <f>IF($I23=BasisDaten!$A$65,1,0)</f>
        <v>0</v>
      </c>
      <c r="AC23" s="89">
        <f t="shared" si="7"/>
        <v>0.7</v>
      </c>
      <c r="AD23" s="88">
        <f t="shared" si="1"/>
        <v>1</v>
      </c>
      <c r="AE23" s="88">
        <f t="shared" si="2"/>
        <v>2</v>
      </c>
      <c r="AF23" s="88">
        <f t="shared" si="3"/>
        <v>2</v>
      </c>
      <c r="AG23" s="89">
        <f t="shared" si="4"/>
        <v>15</v>
      </c>
      <c r="AH23" s="89">
        <f t="shared" si="5"/>
        <v>22</v>
      </c>
      <c r="AI23" s="89">
        <f t="shared" si="6"/>
        <v>16</v>
      </c>
      <c r="AJ23" s="21">
        <f t="shared" si="8"/>
        <v>53</v>
      </c>
      <c r="AK23" s="21">
        <f t="shared" si="9"/>
        <v>37.099999999999994</v>
      </c>
    </row>
    <row r="24" spans="1:37" x14ac:dyDescent="0.25">
      <c r="A24" s="23" t="s">
        <v>126</v>
      </c>
      <c r="B24" s="24"/>
      <c r="C24" s="24"/>
      <c r="D24" s="25"/>
      <c r="E24" s="26"/>
      <c r="F24" s="26"/>
      <c r="G24" s="26"/>
      <c r="H24" s="26"/>
      <c r="I24" s="26"/>
      <c r="J24" s="87">
        <f t="shared" si="0"/>
        <v>0</v>
      </c>
      <c r="K24" s="88">
        <f>IF($B$10=BasisDaten!$A$74,1,0)</f>
        <v>0</v>
      </c>
      <c r="L24" s="88">
        <f>IF($B$10=BasisDaten!$A$75,1,0)</f>
        <v>0</v>
      </c>
      <c r="M24" s="88">
        <f>IF($B$10=BasisDaten!$A$76,1,0)</f>
        <v>1</v>
      </c>
      <c r="N24" s="89">
        <f>IF($E24=BasisDaten!$A$49,1,0)</f>
        <v>0</v>
      </c>
      <c r="O24" s="89">
        <f>IF($E24=BasisDaten!$A$50,1,0)</f>
        <v>0</v>
      </c>
      <c r="P24" s="89">
        <f>IF($E24=BasisDaten!$A$51,1,0)</f>
        <v>0</v>
      </c>
      <c r="Q24" s="88">
        <f>IF($F24=BasisDaten!$A$53,1,0)</f>
        <v>0</v>
      </c>
      <c r="R24" s="88">
        <f>IF($F24=BasisDaten!$A$54,1,0)</f>
        <v>0</v>
      </c>
      <c r="S24" s="88">
        <f>IF($F24=BasisDaten!$A$55,1,0)</f>
        <v>0</v>
      </c>
      <c r="T24" s="89">
        <f>IF($G24=BasisDaten!$A$56,1,0)</f>
        <v>0</v>
      </c>
      <c r="U24" s="89">
        <f>IF($G24=BasisDaten!$A$57,1,0)</f>
        <v>0</v>
      </c>
      <c r="V24" s="89">
        <f>IF($G24=BasisDaten!$A$58,1,0)</f>
        <v>0</v>
      </c>
      <c r="W24" s="88">
        <f>IF($H24=BasisDaten!$A$60,1,0)</f>
        <v>0</v>
      </c>
      <c r="X24" s="88">
        <f>IF($H24=BasisDaten!$A$61,1,0)</f>
        <v>0</v>
      </c>
      <c r="Y24" s="88">
        <f>IF($H24=BasisDaten!$A$62,1,0)</f>
        <v>0</v>
      </c>
      <c r="Z24" s="89">
        <f>IF($I24=BasisDaten!$A$63,1,0)</f>
        <v>0</v>
      </c>
      <c r="AA24" s="89">
        <f>IF($I24=BasisDaten!$A$64,1,0)</f>
        <v>0</v>
      </c>
      <c r="AB24" s="89">
        <f>IF($I24=BasisDaten!$A$65,1,0)</f>
        <v>0</v>
      </c>
      <c r="AC24" s="89">
        <f t="shared" si="7"/>
        <v>0.7</v>
      </c>
      <c r="AD24" s="88">
        <f t="shared" si="1"/>
        <v>1</v>
      </c>
      <c r="AE24" s="88">
        <f t="shared" si="2"/>
        <v>2</v>
      </c>
      <c r="AF24" s="88">
        <f t="shared" si="3"/>
        <v>2</v>
      </c>
      <c r="AG24" s="89">
        <f t="shared" si="4"/>
        <v>15</v>
      </c>
      <c r="AH24" s="89">
        <f t="shared" si="5"/>
        <v>22</v>
      </c>
      <c r="AI24" s="89">
        <f t="shared" si="6"/>
        <v>16</v>
      </c>
      <c r="AJ24" s="21">
        <f t="shared" si="8"/>
        <v>53</v>
      </c>
      <c r="AK24" s="21">
        <f t="shared" si="9"/>
        <v>37.099999999999994</v>
      </c>
    </row>
    <row r="25" spans="1:37" x14ac:dyDescent="0.25">
      <c r="A25" s="23" t="s">
        <v>127</v>
      </c>
      <c r="B25" s="24"/>
      <c r="C25" s="24"/>
      <c r="D25" s="25"/>
      <c r="E25" s="26"/>
      <c r="F25" s="26"/>
      <c r="G25" s="26"/>
      <c r="H25" s="26"/>
      <c r="I25" s="26"/>
      <c r="J25" s="87">
        <f t="shared" si="0"/>
        <v>0</v>
      </c>
      <c r="K25" s="88">
        <f>IF($B$10=BasisDaten!$A$74,1,0)</f>
        <v>0</v>
      </c>
      <c r="L25" s="88">
        <f>IF($B$10=BasisDaten!$A$75,1,0)</f>
        <v>0</v>
      </c>
      <c r="M25" s="88">
        <f>IF($B$10=BasisDaten!$A$76,1,0)</f>
        <v>1</v>
      </c>
      <c r="N25" s="89">
        <f>IF($E25=BasisDaten!$A$49,1,0)</f>
        <v>0</v>
      </c>
      <c r="O25" s="89">
        <f>IF($E25=BasisDaten!$A$50,1,0)</f>
        <v>0</v>
      </c>
      <c r="P25" s="89">
        <f>IF($E25=BasisDaten!$A$51,1,0)</f>
        <v>0</v>
      </c>
      <c r="Q25" s="88">
        <f>IF($F25=BasisDaten!$A$53,1,0)</f>
        <v>0</v>
      </c>
      <c r="R25" s="88">
        <f>IF($F25=BasisDaten!$A$54,1,0)</f>
        <v>0</v>
      </c>
      <c r="S25" s="88">
        <f>IF($F25=BasisDaten!$A$55,1,0)</f>
        <v>0</v>
      </c>
      <c r="T25" s="89">
        <f>IF($G25=BasisDaten!$A$56,1,0)</f>
        <v>0</v>
      </c>
      <c r="U25" s="89">
        <f>IF($G25=BasisDaten!$A$57,1,0)</f>
        <v>0</v>
      </c>
      <c r="V25" s="89">
        <f>IF($G25=BasisDaten!$A$58,1,0)</f>
        <v>0</v>
      </c>
      <c r="W25" s="88">
        <f>IF($H25=BasisDaten!$A$60,1,0)</f>
        <v>0</v>
      </c>
      <c r="X25" s="88">
        <f>IF($H25=BasisDaten!$A$61,1,0)</f>
        <v>0</v>
      </c>
      <c r="Y25" s="88">
        <f>IF($H25=BasisDaten!$A$62,1,0)</f>
        <v>0</v>
      </c>
      <c r="Z25" s="89">
        <f>IF($I25=BasisDaten!$A$63,1,0)</f>
        <v>0</v>
      </c>
      <c r="AA25" s="89">
        <f>IF($I25=BasisDaten!$A$64,1,0)</f>
        <v>0</v>
      </c>
      <c r="AB25" s="89">
        <f>IF($I25=BasisDaten!$A$65,1,0)</f>
        <v>0</v>
      </c>
      <c r="AC25" s="89">
        <f t="shared" si="7"/>
        <v>0.7</v>
      </c>
      <c r="AD25" s="88">
        <f t="shared" si="1"/>
        <v>1</v>
      </c>
      <c r="AE25" s="88">
        <f t="shared" si="2"/>
        <v>2</v>
      </c>
      <c r="AF25" s="88">
        <f t="shared" si="3"/>
        <v>2</v>
      </c>
      <c r="AG25" s="89">
        <f t="shared" si="4"/>
        <v>15</v>
      </c>
      <c r="AH25" s="89">
        <f t="shared" si="5"/>
        <v>22</v>
      </c>
      <c r="AI25" s="89">
        <f t="shared" si="6"/>
        <v>16</v>
      </c>
      <c r="AJ25" s="21">
        <f t="shared" si="8"/>
        <v>53</v>
      </c>
      <c r="AK25" s="21">
        <f t="shared" si="9"/>
        <v>37.099999999999994</v>
      </c>
    </row>
    <row r="26" spans="1:37" x14ac:dyDescent="0.25">
      <c r="A26" s="23" t="s">
        <v>128</v>
      </c>
      <c r="B26" s="24"/>
      <c r="C26" s="24"/>
      <c r="D26" s="25"/>
      <c r="E26" s="26"/>
      <c r="F26" s="26"/>
      <c r="G26" s="26"/>
      <c r="H26" s="26"/>
      <c r="I26" s="26"/>
      <c r="J26" s="87">
        <f t="shared" si="0"/>
        <v>0</v>
      </c>
      <c r="K26" s="88">
        <f>IF($B$10=BasisDaten!$A$74,1,0)</f>
        <v>0</v>
      </c>
      <c r="L26" s="88">
        <f>IF($B$10=BasisDaten!$A$75,1,0)</f>
        <v>0</v>
      </c>
      <c r="M26" s="88">
        <f>IF($B$10=BasisDaten!$A$76,1,0)</f>
        <v>1</v>
      </c>
      <c r="N26" s="89">
        <f>IF($E26=BasisDaten!$A$49,1,0)</f>
        <v>0</v>
      </c>
      <c r="O26" s="89">
        <f>IF($E26=BasisDaten!$A$50,1,0)</f>
        <v>0</v>
      </c>
      <c r="P26" s="89">
        <f>IF($E26=BasisDaten!$A$51,1,0)</f>
        <v>0</v>
      </c>
      <c r="Q26" s="88">
        <f>IF($F26=BasisDaten!$A$53,1,0)</f>
        <v>0</v>
      </c>
      <c r="R26" s="88">
        <f>IF($F26=BasisDaten!$A$54,1,0)</f>
        <v>0</v>
      </c>
      <c r="S26" s="88">
        <f>IF($F26=BasisDaten!$A$55,1,0)</f>
        <v>0</v>
      </c>
      <c r="T26" s="89">
        <f>IF($G26=BasisDaten!$A$56,1,0)</f>
        <v>0</v>
      </c>
      <c r="U26" s="89">
        <f>IF($G26=BasisDaten!$A$57,1,0)</f>
        <v>0</v>
      </c>
      <c r="V26" s="89">
        <f>IF($G26=BasisDaten!$A$58,1,0)</f>
        <v>0</v>
      </c>
      <c r="W26" s="88">
        <f>IF($H26=BasisDaten!$A$60,1,0)</f>
        <v>0</v>
      </c>
      <c r="X26" s="88">
        <f>IF($H26=BasisDaten!$A$61,1,0)</f>
        <v>0</v>
      </c>
      <c r="Y26" s="88">
        <f>IF($H26=BasisDaten!$A$62,1,0)</f>
        <v>0</v>
      </c>
      <c r="Z26" s="89">
        <f>IF($I26=BasisDaten!$A$63,1,0)</f>
        <v>0</v>
      </c>
      <c r="AA26" s="89">
        <f>IF($I26=BasisDaten!$A$64,1,0)</f>
        <v>0</v>
      </c>
      <c r="AB26" s="89">
        <f>IF($I26=BasisDaten!$A$65,1,0)</f>
        <v>0</v>
      </c>
      <c r="AC26" s="89">
        <f t="shared" si="7"/>
        <v>0.7</v>
      </c>
      <c r="AD26" s="88">
        <f t="shared" si="1"/>
        <v>1</v>
      </c>
      <c r="AE26" s="88">
        <f t="shared" si="2"/>
        <v>2</v>
      </c>
      <c r="AF26" s="88">
        <f t="shared" si="3"/>
        <v>2</v>
      </c>
      <c r="AG26" s="89">
        <f t="shared" si="4"/>
        <v>15</v>
      </c>
      <c r="AH26" s="89">
        <f t="shared" si="5"/>
        <v>22</v>
      </c>
      <c r="AI26" s="89">
        <f t="shared" si="6"/>
        <v>16</v>
      </c>
      <c r="AJ26" s="21">
        <f t="shared" si="8"/>
        <v>53</v>
      </c>
      <c r="AK26" s="21">
        <f t="shared" si="9"/>
        <v>37.099999999999994</v>
      </c>
    </row>
    <row r="27" spans="1:37" x14ac:dyDescent="0.25">
      <c r="A27" s="23" t="s">
        <v>129</v>
      </c>
      <c r="B27" s="24"/>
      <c r="C27" s="24"/>
      <c r="D27" s="25"/>
      <c r="E27" s="26"/>
      <c r="F27" s="26"/>
      <c r="G27" s="26"/>
      <c r="H27" s="26"/>
      <c r="I27" s="26"/>
      <c r="J27" s="87">
        <f t="shared" si="0"/>
        <v>0</v>
      </c>
      <c r="K27" s="88">
        <f>IF($B$10=BasisDaten!$A$74,1,0)</f>
        <v>0</v>
      </c>
      <c r="L27" s="88">
        <f>IF($B$10=BasisDaten!$A$75,1,0)</f>
        <v>0</v>
      </c>
      <c r="M27" s="88">
        <f>IF($B$10=BasisDaten!$A$76,1,0)</f>
        <v>1</v>
      </c>
      <c r="N27" s="89">
        <f>IF($E27=BasisDaten!$A$49,1,0)</f>
        <v>0</v>
      </c>
      <c r="O27" s="89">
        <f>IF($E27=BasisDaten!$A$50,1,0)</f>
        <v>0</v>
      </c>
      <c r="P27" s="89">
        <f>IF($E27=BasisDaten!$A$51,1,0)</f>
        <v>0</v>
      </c>
      <c r="Q27" s="88">
        <f>IF($F27=BasisDaten!$A$53,1,0)</f>
        <v>0</v>
      </c>
      <c r="R27" s="88">
        <f>IF($F27=BasisDaten!$A$54,1,0)</f>
        <v>0</v>
      </c>
      <c r="S27" s="88">
        <f>IF($F27=BasisDaten!$A$55,1,0)</f>
        <v>0</v>
      </c>
      <c r="T27" s="89">
        <f>IF($G27=BasisDaten!$A$56,1,0)</f>
        <v>0</v>
      </c>
      <c r="U27" s="89">
        <f>IF($G27=BasisDaten!$A$57,1,0)</f>
        <v>0</v>
      </c>
      <c r="V27" s="89">
        <f>IF($G27=BasisDaten!$A$58,1,0)</f>
        <v>0</v>
      </c>
      <c r="W27" s="88">
        <f>IF($H27=BasisDaten!$A$60,1,0)</f>
        <v>0</v>
      </c>
      <c r="X27" s="88">
        <f>IF($H27=BasisDaten!$A$61,1,0)</f>
        <v>0</v>
      </c>
      <c r="Y27" s="88">
        <f>IF($H27=BasisDaten!$A$62,1,0)</f>
        <v>0</v>
      </c>
      <c r="Z27" s="89">
        <f>IF($I27=BasisDaten!$A$63,1,0)</f>
        <v>0</v>
      </c>
      <c r="AA27" s="89">
        <f>IF($I27=BasisDaten!$A$64,1,0)</f>
        <v>0</v>
      </c>
      <c r="AB27" s="89">
        <f>IF($I27=BasisDaten!$A$65,1,0)</f>
        <v>0</v>
      </c>
      <c r="AC27" s="89">
        <f t="shared" si="7"/>
        <v>0.7</v>
      </c>
      <c r="AD27" s="88">
        <f t="shared" si="1"/>
        <v>1</v>
      </c>
      <c r="AE27" s="88">
        <f t="shared" si="2"/>
        <v>2</v>
      </c>
      <c r="AF27" s="88">
        <f t="shared" si="3"/>
        <v>2</v>
      </c>
      <c r="AG27" s="89">
        <f t="shared" si="4"/>
        <v>15</v>
      </c>
      <c r="AH27" s="89">
        <f t="shared" si="5"/>
        <v>22</v>
      </c>
      <c r="AI27" s="89">
        <f t="shared" si="6"/>
        <v>16</v>
      </c>
      <c r="AJ27" s="21">
        <f t="shared" si="8"/>
        <v>53</v>
      </c>
      <c r="AK27" s="21">
        <f t="shared" si="9"/>
        <v>37.099999999999994</v>
      </c>
    </row>
    <row r="28" spans="1:37" x14ac:dyDescent="0.25">
      <c r="A28" s="23" t="s">
        <v>130</v>
      </c>
      <c r="B28" s="24"/>
      <c r="C28" s="24"/>
      <c r="D28" s="25"/>
      <c r="E28" s="26"/>
      <c r="F28" s="26"/>
      <c r="G28" s="26"/>
      <c r="H28" s="26"/>
      <c r="I28" s="26"/>
      <c r="J28" s="87">
        <f t="shared" si="0"/>
        <v>0</v>
      </c>
      <c r="K28" s="88">
        <f>IF($B$10=BasisDaten!$A$74,1,0)</f>
        <v>0</v>
      </c>
      <c r="L28" s="88">
        <f>IF($B$10=BasisDaten!$A$75,1,0)</f>
        <v>0</v>
      </c>
      <c r="M28" s="88">
        <f>IF($B$10=BasisDaten!$A$76,1,0)</f>
        <v>1</v>
      </c>
      <c r="N28" s="89">
        <f>IF($E28=BasisDaten!$A$49,1,0)</f>
        <v>0</v>
      </c>
      <c r="O28" s="89">
        <f>IF($E28=BasisDaten!$A$50,1,0)</f>
        <v>0</v>
      </c>
      <c r="P28" s="89">
        <f>IF($E28=BasisDaten!$A$51,1,0)</f>
        <v>0</v>
      </c>
      <c r="Q28" s="88">
        <f>IF($F28=BasisDaten!$A$53,1,0)</f>
        <v>0</v>
      </c>
      <c r="R28" s="88">
        <f>IF($F28=BasisDaten!$A$54,1,0)</f>
        <v>0</v>
      </c>
      <c r="S28" s="88">
        <f>IF($F28=BasisDaten!$A$55,1,0)</f>
        <v>0</v>
      </c>
      <c r="T28" s="89">
        <f>IF($G28=BasisDaten!$A$56,1,0)</f>
        <v>0</v>
      </c>
      <c r="U28" s="89">
        <f>IF($G28=BasisDaten!$A$57,1,0)</f>
        <v>0</v>
      </c>
      <c r="V28" s="89">
        <f>IF($G28=BasisDaten!$A$58,1,0)</f>
        <v>0</v>
      </c>
      <c r="W28" s="88">
        <f>IF($H28=BasisDaten!$A$60,1,0)</f>
        <v>0</v>
      </c>
      <c r="X28" s="88">
        <f>IF($H28=BasisDaten!$A$61,1,0)</f>
        <v>0</v>
      </c>
      <c r="Y28" s="88">
        <f>IF($H28=BasisDaten!$A$62,1,0)</f>
        <v>0</v>
      </c>
      <c r="Z28" s="89">
        <f>IF($I28=BasisDaten!$A$63,1,0)</f>
        <v>0</v>
      </c>
      <c r="AA28" s="89">
        <f>IF($I28=BasisDaten!$A$64,1,0)</f>
        <v>0</v>
      </c>
      <c r="AB28" s="89">
        <f>IF($I28=BasisDaten!$A$65,1,0)</f>
        <v>0</v>
      </c>
      <c r="AC28" s="89">
        <f t="shared" si="7"/>
        <v>0.7</v>
      </c>
      <c r="AD28" s="88">
        <f t="shared" si="1"/>
        <v>1</v>
      </c>
      <c r="AE28" s="88">
        <f t="shared" si="2"/>
        <v>2</v>
      </c>
      <c r="AF28" s="88">
        <f t="shared" si="3"/>
        <v>2</v>
      </c>
      <c r="AG28" s="89">
        <f t="shared" si="4"/>
        <v>15</v>
      </c>
      <c r="AH28" s="89">
        <f t="shared" si="5"/>
        <v>22</v>
      </c>
      <c r="AI28" s="89">
        <f t="shared" si="6"/>
        <v>16</v>
      </c>
      <c r="AJ28" s="21">
        <f t="shared" si="8"/>
        <v>53</v>
      </c>
      <c r="AK28" s="21">
        <f t="shared" si="9"/>
        <v>37.099999999999994</v>
      </c>
    </row>
    <row r="29" spans="1:37" x14ac:dyDescent="0.25">
      <c r="A29" s="23" t="s">
        <v>109</v>
      </c>
      <c r="B29" s="24"/>
      <c r="C29" s="24"/>
      <c r="D29" s="25"/>
      <c r="E29" s="26"/>
      <c r="F29" s="26"/>
      <c r="G29" s="26"/>
      <c r="H29" s="26"/>
      <c r="I29" s="26"/>
      <c r="J29" s="87">
        <f t="shared" si="0"/>
        <v>0</v>
      </c>
      <c r="K29" s="88">
        <f>IF($B$10=BasisDaten!$A$74,1,0)</f>
        <v>0</v>
      </c>
      <c r="L29" s="88">
        <f>IF($B$10=BasisDaten!$A$75,1,0)</f>
        <v>0</v>
      </c>
      <c r="M29" s="88">
        <f>IF($B$10=BasisDaten!$A$76,1,0)</f>
        <v>1</v>
      </c>
      <c r="N29" s="89">
        <f>IF($E29=BasisDaten!$A$49,1,0)</f>
        <v>0</v>
      </c>
      <c r="O29" s="89">
        <f>IF($E29=BasisDaten!$A$50,1,0)</f>
        <v>0</v>
      </c>
      <c r="P29" s="89">
        <f>IF($E29=BasisDaten!$A$51,1,0)</f>
        <v>0</v>
      </c>
      <c r="Q29" s="88">
        <f>IF($F29=BasisDaten!$A$53,1,0)</f>
        <v>0</v>
      </c>
      <c r="R29" s="88">
        <f>IF($F29=BasisDaten!$A$54,1,0)</f>
        <v>0</v>
      </c>
      <c r="S29" s="88">
        <f>IF($F29=BasisDaten!$A$55,1,0)</f>
        <v>0</v>
      </c>
      <c r="T29" s="89">
        <f>IF($G29=BasisDaten!$A$56,1,0)</f>
        <v>0</v>
      </c>
      <c r="U29" s="89">
        <f>IF($G29=BasisDaten!$A$57,1,0)</f>
        <v>0</v>
      </c>
      <c r="V29" s="89">
        <f>IF($G29=BasisDaten!$A$58,1,0)</f>
        <v>0</v>
      </c>
      <c r="W29" s="88">
        <f>IF($H29=BasisDaten!$A$60,1,0)</f>
        <v>0</v>
      </c>
      <c r="X29" s="88">
        <f>IF($H29=BasisDaten!$A$61,1,0)</f>
        <v>0</v>
      </c>
      <c r="Y29" s="88">
        <f>IF($H29=BasisDaten!$A$62,1,0)</f>
        <v>0</v>
      </c>
      <c r="Z29" s="89">
        <f>IF($I29=BasisDaten!$A$63,1,0)</f>
        <v>0</v>
      </c>
      <c r="AA29" s="89">
        <f>IF($I29=BasisDaten!$A$64,1,0)</f>
        <v>0</v>
      </c>
      <c r="AB29" s="89">
        <f>IF($I29=BasisDaten!$A$65,1,0)</f>
        <v>0</v>
      </c>
      <c r="AC29" s="89">
        <f t="shared" ref="AC29:AC48" si="10">IF(Z29=1,1.3,IF(AA29=1,1,0.7))</f>
        <v>0.7</v>
      </c>
      <c r="AD29" s="88">
        <f t="shared" ref="AD29:AD48" si="11">$K$10+K29+N29+Q29+T29+W29</f>
        <v>1</v>
      </c>
      <c r="AE29" s="88">
        <f t="shared" ref="AE29:AE48" si="12">$L$10+L29+O29+R29+U29+X29</f>
        <v>2</v>
      </c>
      <c r="AF29" s="88">
        <f t="shared" ref="AF29:AF48" si="13">$M$10+M29+P29+S29+V29+Y29</f>
        <v>2</v>
      </c>
      <c r="AG29" s="89">
        <f t="shared" ref="AG29:AG48" si="14">$K$11*AD29</f>
        <v>15</v>
      </c>
      <c r="AH29" s="89">
        <f t="shared" ref="AH29:AH48" si="15">$L$11*AE29</f>
        <v>22</v>
      </c>
      <c r="AI29" s="89">
        <f t="shared" ref="AI29:AI48" si="16">$M$11*AF29</f>
        <v>16</v>
      </c>
      <c r="AJ29" s="21">
        <f t="shared" ref="AJ29:AJ48" si="17">SUM(AG29:AI29)</f>
        <v>53</v>
      </c>
      <c r="AK29" s="21">
        <f t="shared" ref="AK29:AK48" si="18">AJ29*AC29</f>
        <v>37.099999999999994</v>
      </c>
    </row>
    <row r="30" spans="1:37" x14ac:dyDescent="0.25">
      <c r="A30" s="23" t="s">
        <v>88</v>
      </c>
      <c r="B30" s="24"/>
      <c r="C30" s="24"/>
      <c r="D30" s="25"/>
      <c r="E30" s="26"/>
      <c r="F30" s="26"/>
      <c r="G30" s="26"/>
      <c r="H30" s="26"/>
      <c r="I30" s="26"/>
      <c r="J30" s="87">
        <f t="shared" si="0"/>
        <v>0</v>
      </c>
      <c r="K30" s="88">
        <f>IF($B$10=BasisDaten!$A$74,1,0)</f>
        <v>0</v>
      </c>
      <c r="L30" s="88">
        <f>IF($B$10=BasisDaten!$A$75,1,0)</f>
        <v>0</v>
      </c>
      <c r="M30" s="88">
        <f>IF($B$10=BasisDaten!$A$76,1,0)</f>
        <v>1</v>
      </c>
      <c r="N30" s="89">
        <f>IF($E30=BasisDaten!$A$49,1,0)</f>
        <v>0</v>
      </c>
      <c r="O30" s="89">
        <f>IF($E30=BasisDaten!$A$50,1,0)</f>
        <v>0</v>
      </c>
      <c r="P30" s="89">
        <f>IF($E30=BasisDaten!$A$51,1,0)</f>
        <v>0</v>
      </c>
      <c r="Q30" s="88">
        <f>IF($F30=BasisDaten!$A$53,1,0)</f>
        <v>0</v>
      </c>
      <c r="R30" s="88">
        <f>IF($F30=BasisDaten!$A$54,1,0)</f>
        <v>0</v>
      </c>
      <c r="S30" s="88">
        <f>IF($F30=BasisDaten!$A$55,1,0)</f>
        <v>0</v>
      </c>
      <c r="T30" s="89">
        <f>IF($G30=BasisDaten!$A$56,1,0)</f>
        <v>0</v>
      </c>
      <c r="U30" s="89">
        <f>IF($G30=BasisDaten!$A$57,1,0)</f>
        <v>0</v>
      </c>
      <c r="V30" s="89">
        <f>IF($G30=BasisDaten!$A$58,1,0)</f>
        <v>0</v>
      </c>
      <c r="W30" s="88">
        <f>IF($H30=BasisDaten!$A$60,1,0)</f>
        <v>0</v>
      </c>
      <c r="X30" s="88">
        <f>IF($H30=BasisDaten!$A$61,1,0)</f>
        <v>0</v>
      </c>
      <c r="Y30" s="88">
        <f>IF($H30=BasisDaten!$A$62,1,0)</f>
        <v>0</v>
      </c>
      <c r="Z30" s="89">
        <f>IF($I30=BasisDaten!$A$63,1,0)</f>
        <v>0</v>
      </c>
      <c r="AA30" s="89">
        <f>IF($I30=BasisDaten!$A$64,1,0)</f>
        <v>0</v>
      </c>
      <c r="AB30" s="89">
        <f>IF($I30=BasisDaten!$A$65,1,0)</f>
        <v>0</v>
      </c>
      <c r="AC30" s="89">
        <f t="shared" si="10"/>
        <v>0.7</v>
      </c>
      <c r="AD30" s="88">
        <f t="shared" si="11"/>
        <v>1</v>
      </c>
      <c r="AE30" s="88">
        <f t="shared" si="12"/>
        <v>2</v>
      </c>
      <c r="AF30" s="88">
        <f t="shared" si="13"/>
        <v>2</v>
      </c>
      <c r="AG30" s="89">
        <f t="shared" si="14"/>
        <v>15</v>
      </c>
      <c r="AH30" s="89">
        <f t="shared" si="15"/>
        <v>22</v>
      </c>
      <c r="AI30" s="89">
        <f t="shared" si="16"/>
        <v>16</v>
      </c>
      <c r="AJ30" s="21">
        <f t="shared" si="17"/>
        <v>53</v>
      </c>
      <c r="AK30" s="21">
        <f t="shared" si="18"/>
        <v>37.099999999999994</v>
      </c>
    </row>
    <row r="31" spans="1:37" x14ac:dyDescent="0.25">
      <c r="A31" s="23" t="s">
        <v>89</v>
      </c>
      <c r="B31" s="24"/>
      <c r="C31" s="24"/>
      <c r="D31" s="25"/>
      <c r="E31" s="26"/>
      <c r="F31" s="26"/>
      <c r="G31" s="26"/>
      <c r="H31" s="26"/>
      <c r="I31" s="26"/>
      <c r="J31" s="87">
        <f t="shared" si="0"/>
        <v>0</v>
      </c>
      <c r="K31" s="88">
        <f>IF($B$10=BasisDaten!$A$74,1,0)</f>
        <v>0</v>
      </c>
      <c r="L31" s="88">
        <f>IF($B$10=BasisDaten!$A$75,1,0)</f>
        <v>0</v>
      </c>
      <c r="M31" s="88">
        <f>IF($B$10=BasisDaten!$A$76,1,0)</f>
        <v>1</v>
      </c>
      <c r="N31" s="89">
        <f>IF($E31=BasisDaten!$A$49,1,0)</f>
        <v>0</v>
      </c>
      <c r="O31" s="89">
        <f>IF($E31=BasisDaten!$A$50,1,0)</f>
        <v>0</v>
      </c>
      <c r="P31" s="89">
        <f>IF($E31=BasisDaten!$A$51,1,0)</f>
        <v>0</v>
      </c>
      <c r="Q31" s="88">
        <f>IF($F31=BasisDaten!$A$53,1,0)</f>
        <v>0</v>
      </c>
      <c r="R31" s="88">
        <f>IF($F31=BasisDaten!$A$54,1,0)</f>
        <v>0</v>
      </c>
      <c r="S31" s="88">
        <f>IF($F31=BasisDaten!$A$55,1,0)</f>
        <v>0</v>
      </c>
      <c r="T31" s="89">
        <f>IF($G31=BasisDaten!$A$56,1,0)</f>
        <v>0</v>
      </c>
      <c r="U31" s="89">
        <f>IF($G31=BasisDaten!$A$57,1,0)</f>
        <v>0</v>
      </c>
      <c r="V31" s="89">
        <f>IF($G31=BasisDaten!$A$58,1,0)</f>
        <v>0</v>
      </c>
      <c r="W31" s="88">
        <f>IF($H31=BasisDaten!$A$60,1,0)</f>
        <v>0</v>
      </c>
      <c r="X31" s="88">
        <f>IF($H31=BasisDaten!$A$61,1,0)</f>
        <v>0</v>
      </c>
      <c r="Y31" s="88">
        <f>IF($H31=BasisDaten!$A$62,1,0)</f>
        <v>0</v>
      </c>
      <c r="Z31" s="89">
        <f>IF($I31=BasisDaten!$A$63,1,0)</f>
        <v>0</v>
      </c>
      <c r="AA31" s="89">
        <f>IF($I31=BasisDaten!$A$64,1,0)</f>
        <v>0</v>
      </c>
      <c r="AB31" s="89">
        <f>IF($I31=BasisDaten!$A$65,1,0)</f>
        <v>0</v>
      </c>
      <c r="AC31" s="89">
        <f t="shared" si="10"/>
        <v>0.7</v>
      </c>
      <c r="AD31" s="88">
        <f t="shared" si="11"/>
        <v>1</v>
      </c>
      <c r="AE31" s="88">
        <f t="shared" si="12"/>
        <v>2</v>
      </c>
      <c r="AF31" s="88">
        <f t="shared" si="13"/>
        <v>2</v>
      </c>
      <c r="AG31" s="89">
        <f t="shared" si="14"/>
        <v>15</v>
      </c>
      <c r="AH31" s="89">
        <f t="shared" si="15"/>
        <v>22</v>
      </c>
      <c r="AI31" s="89">
        <f t="shared" si="16"/>
        <v>16</v>
      </c>
      <c r="AJ31" s="21">
        <f t="shared" si="17"/>
        <v>53</v>
      </c>
      <c r="AK31" s="21">
        <f t="shared" si="18"/>
        <v>37.099999999999994</v>
      </c>
    </row>
    <row r="32" spans="1:37" x14ac:dyDescent="0.25">
      <c r="A32" s="23" t="s">
        <v>90</v>
      </c>
      <c r="B32" s="24"/>
      <c r="C32" s="24"/>
      <c r="D32" s="25"/>
      <c r="E32" s="26"/>
      <c r="F32" s="26"/>
      <c r="G32" s="26"/>
      <c r="H32" s="26"/>
      <c r="I32" s="26"/>
      <c r="J32" s="87">
        <f t="shared" si="0"/>
        <v>0</v>
      </c>
      <c r="K32" s="88">
        <f>IF($B$10=BasisDaten!$A$74,1,0)</f>
        <v>0</v>
      </c>
      <c r="L32" s="88">
        <f>IF($B$10=BasisDaten!$A$75,1,0)</f>
        <v>0</v>
      </c>
      <c r="M32" s="88">
        <f>IF($B$10=BasisDaten!$A$76,1,0)</f>
        <v>1</v>
      </c>
      <c r="N32" s="89">
        <f>IF($E32=BasisDaten!$A$49,1,0)</f>
        <v>0</v>
      </c>
      <c r="O32" s="89">
        <f>IF($E32=BasisDaten!$A$50,1,0)</f>
        <v>0</v>
      </c>
      <c r="P32" s="89">
        <f>IF($E32=BasisDaten!$A$51,1,0)</f>
        <v>0</v>
      </c>
      <c r="Q32" s="88">
        <f>IF($F32=BasisDaten!$A$53,1,0)</f>
        <v>0</v>
      </c>
      <c r="R32" s="88">
        <f>IF($F32=BasisDaten!$A$54,1,0)</f>
        <v>0</v>
      </c>
      <c r="S32" s="88">
        <f>IF($F32=BasisDaten!$A$55,1,0)</f>
        <v>0</v>
      </c>
      <c r="T32" s="89">
        <f>IF($G32=BasisDaten!$A$56,1,0)</f>
        <v>0</v>
      </c>
      <c r="U32" s="89">
        <f>IF($G32=BasisDaten!$A$57,1,0)</f>
        <v>0</v>
      </c>
      <c r="V32" s="89">
        <f>IF($G32=BasisDaten!$A$58,1,0)</f>
        <v>0</v>
      </c>
      <c r="W32" s="88">
        <f>IF($H32=BasisDaten!$A$60,1,0)</f>
        <v>0</v>
      </c>
      <c r="X32" s="88">
        <f>IF($H32=BasisDaten!$A$61,1,0)</f>
        <v>0</v>
      </c>
      <c r="Y32" s="88">
        <f>IF($H32=BasisDaten!$A$62,1,0)</f>
        <v>0</v>
      </c>
      <c r="Z32" s="89">
        <f>IF($I32=BasisDaten!$A$63,1,0)</f>
        <v>0</v>
      </c>
      <c r="AA32" s="89">
        <f>IF($I32=BasisDaten!$A$64,1,0)</f>
        <v>0</v>
      </c>
      <c r="AB32" s="89">
        <f>IF($I32=BasisDaten!$A$65,1,0)</f>
        <v>0</v>
      </c>
      <c r="AC32" s="89">
        <f t="shared" si="10"/>
        <v>0.7</v>
      </c>
      <c r="AD32" s="88">
        <f t="shared" si="11"/>
        <v>1</v>
      </c>
      <c r="AE32" s="88">
        <f t="shared" si="12"/>
        <v>2</v>
      </c>
      <c r="AF32" s="88">
        <f t="shared" si="13"/>
        <v>2</v>
      </c>
      <c r="AG32" s="89">
        <f t="shared" si="14"/>
        <v>15</v>
      </c>
      <c r="AH32" s="89">
        <f t="shared" si="15"/>
        <v>22</v>
      </c>
      <c r="AI32" s="89">
        <f t="shared" si="16"/>
        <v>16</v>
      </c>
      <c r="AJ32" s="21">
        <f t="shared" si="17"/>
        <v>53</v>
      </c>
      <c r="AK32" s="21">
        <f t="shared" si="18"/>
        <v>37.099999999999994</v>
      </c>
    </row>
    <row r="33" spans="1:37" x14ac:dyDescent="0.25">
      <c r="A33" s="23" t="s">
        <v>91</v>
      </c>
      <c r="B33" s="24"/>
      <c r="C33" s="24"/>
      <c r="D33" s="25"/>
      <c r="E33" s="26"/>
      <c r="F33" s="26"/>
      <c r="G33" s="26"/>
      <c r="H33" s="26"/>
      <c r="I33" s="26"/>
      <c r="J33" s="87">
        <f t="shared" si="0"/>
        <v>0</v>
      </c>
      <c r="K33" s="88">
        <f>IF($B$10=BasisDaten!$A$74,1,0)</f>
        <v>0</v>
      </c>
      <c r="L33" s="88">
        <f>IF($B$10=BasisDaten!$A$75,1,0)</f>
        <v>0</v>
      </c>
      <c r="M33" s="88">
        <f>IF($B$10=BasisDaten!$A$76,1,0)</f>
        <v>1</v>
      </c>
      <c r="N33" s="89">
        <f>IF($E33=BasisDaten!$A$49,1,0)</f>
        <v>0</v>
      </c>
      <c r="O33" s="89">
        <f>IF($E33=BasisDaten!$A$50,1,0)</f>
        <v>0</v>
      </c>
      <c r="P33" s="89">
        <f>IF($E33=BasisDaten!$A$51,1,0)</f>
        <v>0</v>
      </c>
      <c r="Q33" s="88">
        <f>IF($F33=BasisDaten!$A$53,1,0)</f>
        <v>0</v>
      </c>
      <c r="R33" s="88">
        <f>IF($F33=BasisDaten!$A$54,1,0)</f>
        <v>0</v>
      </c>
      <c r="S33" s="88">
        <f>IF($F33=BasisDaten!$A$55,1,0)</f>
        <v>0</v>
      </c>
      <c r="T33" s="89">
        <f>IF($G33=BasisDaten!$A$56,1,0)</f>
        <v>0</v>
      </c>
      <c r="U33" s="89">
        <f>IF($G33=BasisDaten!$A$57,1,0)</f>
        <v>0</v>
      </c>
      <c r="V33" s="89">
        <f>IF($G33=BasisDaten!$A$58,1,0)</f>
        <v>0</v>
      </c>
      <c r="W33" s="88">
        <f>IF($H33=BasisDaten!$A$60,1,0)</f>
        <v>0</v>
      </c>
      <c r="X33" s="88">
        <f>IF($H33=BasisDaten!$A$61,1,0)</f>
        <v>0</v>
      </c>
      <c r="Y33" s="88">
        <f>IF($H33=BasisDaten!$A$62,1,0)</f>
        <v>0</v>
      </c>
      <c r="Z33" s="89">
        <f>IF($I33=BasisDaten!$A$63,1,0)</f>
        <v>0</v>
      </c>
      <c r="AA33" s="89">
        <f>IF($I33=BasisDaten!$A$64,1,0)</f>
        <v>0</v>
      </c>
      <c r="AB33" s="89">
        <f>IF($I33=BasisDaten!$A$65,1,0)</f>
        <v>0</v>
      </c>
      <c r="AC33" s="89">
        <f t="shared" si="10"/>
        <v>0.7</v>
      </c>
      <c r="AD33" s="88">
        <f t="shared" si="11"/>
        <v>1</v>
      </c>
      <c r="AE33" s="88">
        <f t="shared" si="12"/>
        <v>2</v>
      </c>
      <c r="AF33" s="88">
        <f t="shared" si="13"/>
        <v>2</v>
      </c>
      <c r="AG33" s="89">
        <f t="shared" si="14"/>
        <v>15</v>
      </c>
      <c r="AH33" s="89">
        <f t="shared" si="15"/>
        <v>22</v>
      </c>
      <c r="AI33" s="89">
        <f t="shared" si="16"/>
        <v>16</v>
      </c>
      <c r="AJ33" s="21">
        <f t="shared" si="17"/>
        <v>53</v>
      </c>
      <c r="AK33" s="21">
        <f t="shared" si="18"/>
        <v>37.099999999999994</v>
      </c>
    </row>
    <row r="34" spans="1:37" x14ac:dyDescent="0.25">
      <c r="A34" s="23" t="s">
        <v>92</v>
      </c>
      <c r="B34" s="24"/>
      <c r="C34" s="24"/>
      <c r="D34" s="25"/>
      <c r="E34" s="26"/>
      <c r="F34" s="26"/>
      <c r="G34" s="26"/>
      <c r="H34" s="26"/>
      <c r="I34" s="26"/>
      <c r="J34" s="87">
        <f t="shared" si="0"/>
        <v>0</v>
      </c>
      <c r="K34" s="88">
        <f>IF($B$10=BasisDaten!$A$74,1,0)</f>
        <v>0</v>
      </c>
      <c r="L34" s="88">
        <f>IF($B$10=BasisDaten!$A$75,1,0)</f>
        <v>0</v>
      </c>
      <c r="M34" s="88">
        <f>IF($B$10=BasisDaten!$A$76,1,0)</f>
        <v>1</v>
      </c>
      <c r="N34" s="89">
        <f>IF($E34=BasisDaten!$A$49,1,0)</f>
        <v>0</v>
      </c>
      <c r="O34" s="89">
        <f>IF($E34=BasisDaten!$A$50,1,0)</f>
        <v>0</v>
      </c>
      <c r="P34" s="89">
        <f>IF($E34=BasisDaten!$A$51,1,0)</f>
        <v>0</v>
      </c>
      <c r="Q34" s="88">
        <f>IF($F34=BasisDaten!$A$53,1,0)</f>
        <v>0</v>
      </c>
      <c r="R34" s="88">
        <f>IF($F34=BasisDaten!$A$54,1,0)</f>
        <v>0</v>
      </c>
      <c r="S34" s="88">
        <f>IF($F34=BasisDaten!$A$55,1,0)</f>
        <v>0</v>
      </c>
      <c r="T34" s="89">
        <f>IF($G34=BasisDaten!$A$56,1,0)</f>
        <v>0</v>
      </c>
      <c r="U34" s="89">
        <f>IF($G34=BasisDaten!$A$57,1,0)</f>
        <v>0</v>
      </c>
      <c r="V34" s="89">
        <f>IF($G34=BasisDaten!$A$58,1,0)</f>
        <v>0</v>
      </c>
      <c r="W34" s="88">
        <f>IF($H34=BasisDaten!$A$60,1,0)</f>
        <v>0</v>
      </c>
      <c r="X34" s="88">
        <f>IF($H34=BasisDaten!$A$61,1,0)</f>
        <v>0</v>
      </c>
      <c r="Y34" s="88">
        <f>IF($H34=BasisDaten!$A$62,1,0)</f>
        <v>0</v>
      </c>
      <c r="Z34" s="89">
        <f>IF($I34=BasisDaten!$A$63,1,0)</f>
        <v>0</v>
      </c>
      <c r="AA34" s="89">
        <f>IF($I34=BasisDaten!$A$64,1,0)</f>
        <v>0</v>
      </c>
      <c r="AB34" s="89">
        <f>IF($I34=BasisDaten!$A$65,1,0)</f>
        <v>0</v>
      </c>
      <c r="AC34" s="89">
        <f t="shared" si="10"/>
        <v>0.7</v>
      </c>
      <c r="AD34" s="88">
        <f t="shared" si="11"/>
        <v>1</v>
      </c>
      <c r="AE34" s="88">
        <f t="shared" si="12"/>
        <v>2</v>
      </c>
      <c r="AF34" s="88">
        <f t="shared" si="13"/>
        <v>2</v>
      </c>
      <c r="AG34" s="89">
        <f t="shared" si="14"/>
        <v>15</v>
      </c>
      <c r="AH34" s="89">
        <f t="shared" si="15"/>
        <v>22</v>
      </c>
      <c r="AI34" s="89">
        <f t="shared" si="16"/>
        <v>16</v>
      </c>
      <c r="AJ34" s="21">
        <f t="shared" si="17"/>
        <v>53</v>
      </c>
      <c r="AK34" s="21">
        <f t="shared" si="18"/>
        <v>37.099999999999994</v>
      </c>
    </row>
    <row r="35" spans="1:37" x14ac:dyDescent="0.25">
      <c r="A35" s="23" t="s">
        <v>93</v>
      </c>
      <c r="B35" s="24"/>
      <c r="C35" s="24"/>
      <c r="D35" s="25"/>
      <c r="E35" s="26"/>
      <c r="F35" s="26"/>
      <c r="G35" s="26"/>
      <c r="H35" s="26"/>
      <c r="I35" s="26"/>
      <c r="J35" s="87">
        <f t="shared" si="0"/>
        <v>0</v>
      </c>
      <c r="K35" s="88">
        <f>IF($B$10=BasisDaten!$A$74,1,0)</f>
        <v>0</v>
      </c>
      <c r="L35" s="88">
        <f>IF($B$10=BasisDaten!$A$75,1,0)</f>
        <v>0</v>
      </c>
      <c r="M35" s="88">
        <f>IF($B$10=BasisDaten!$A$76,1,0)</f>
        <v>1</v>
      </c>
      <c r="N35" s="89">
        <f>IF($E35=BasisDaten!$A$49,1,0)</f>
        <v>0</v>
      </c>
      <c r="O35" s="89">
        <f>IF($E35=BasisDaten!$A$50,1,0)</f>
        <v>0</v>
      </c>
      <c r="P35" s="89">
        <f>IF($E35=BasisDaten!$A$51,1,0)</f>
        <v>0</v>
      </c>
      <c r="Q35" s="88">
        <f>IF($F35=BasisDaten!$A$53,1,0)</f>
        <v>0</v>
      </c>
      <c r="R35" s="88">
        <f>IF($F35=BasisDaten!$A$54,1,0)</f>
        <v>0</v>
      </c>
      <c r="S35" s="88">
        <f>IF($F35=BasisDaten!$A$55,1,0)</f>
        <v>0</v>
      </c>
      <c r="T35" s="89">
        <f>IF($G35=BasisDaten!$A$56,1,0)</f>
        <v>0</v>
      </c>
      <c r="U35" s="89">
        <f>IF($G35=BasisDaten!$A$57,1,0)</f>
        <v>0</v>
      </c>
      <c r="V35" s="89">
        <f>IF($G35=BasisDaten!$A$58,1,0)</f>
        <v>0</v>
      </c>
      <c r="W35" s="88">
        <f>IF($H35=BasisDaten!$A$60,1,0)</f>
        <v>0</v>
      </c>
      <c r="X35" s="88">
        <f>IF($H35=BasisDaten!$A$61,1,0)</f>
        <v>0</v>
      </c>
      <c r="Y35" s="88">
        <f>IF($H35=BasisDaten!$A$62,1,0)</f>
        <v>0</v>
      </c>
      <c r="Z35" s="89">
        <f>IF($I35=BasisDaten!$A$63,1,0)</f>
        <v>0</v>
      </c>
      <c r="AA35" s="89">
        <f>IF($I35=BasisDaten!$A$64,1,0)</f>
        <v>0</v>
      </c>
      <c r="AB35" s="89">
        <f>IF($I35=BasisDaten!$A$65,1,0)</f>
        <v>0</v>
      </c>
      <c r="AC35" s="89">
        <f t="shared" si="10"/>
        <v>0.7</v>
      </c>
      <c r="AD35" s="88">
        <f t="shared" si="11"/>
        <v>1</v>
      </c>
      <c r="AE35" s="88">
        <f t="shared" si="12"/>
        <v>2</v>
      </c>
      <c r="AF35" s="88">
        <f t="shared" si="13"/>
        <v>2</v>
      </c>
      <c r="AG35" s="89">
        <f t="shared" si="14"/>
        <v>15</v>
      </c>
      <c r="AH35" s="89">
        <f t="shared" si="15"/>
        <v>22</v>
      </c>
      <c r="AI35" s="89">
        <f t="shared" si="16"/>
        <v>16</v>
      </c>
      <c r="AJ35" s="21">
        <f t="shared" si="17"/>
        <v>53</v>
      </c>
      <c r="AK35" s="21">
        <f t="shared" si="18"/>
        <v>37.099999999999994</v>
      </c>
    </row>
    <row r="36" spans="1:37" x14ac:dyDescent="0.25">
      <c r="A36" s="23" t="s">
        <v>94</v>
      </c>
      <c r="B36" s="24"/>
      <c r="C36" s="24"/>
      <c r="D36" s="25"/>
      <c r="E36" s="26"/>
      <c r="F36" s="26"/>
      <c r="G36" s="26"/>
      <c r="H36" s="26"/>
      <c r="I36" s="26"/>
      <c r="J36" s="87">
        <f t="shared" si="0"/>
        <v>0</v>
      </c>
      <c r="K36" s="88">
        <f>IF($B$10=BasisDaten!$A$74,1,0)</f>
        <v>0</v>
      </c>
      <c r="L36" s="88">
        <f>IF($B$10=BasisDaten!$A$75,1,0)</f>
        <v>0</v>
      </c>
      <c r="M36" s="88">
        <f>IF($B$10=BasisDaten!$A$76,1,0)</f>
        <v>1</v>
      </c>
      <c r="N36" s="89">
        <f>IF($E36=BasisDaten!$A$49,1,0)</f>
        <v>0</v>
      </c>
      <c r="O36" s="89">
        <f>IF($E36=BasisDaten!$A$50,1,0)</f>
        <v>0</v>
      </c>
      <c r="P36" s="89">
        <f>IF($E36=BasisDaten!$A$51,1,0)</f>
        <v>0</v>
      </c>
      <c r="Q36" s="88">
        <f>IF($F36=BasisDaten!$A$53,1,0)</f>
        <v>0</v>
      </c>
      <c r="R36" s="88">
        <f>IF($F36=BasisDaten!$A$54,1,0)</f>
        <v>0</v>
      </c>
      <c r="S36" s="88">
        <f>IF($F36=BasisDaten!$A$55,1,0)</f>
        <v>0</v>
      </c>
      <c r="T36" s="89">
        <f>IF($G36=BasisDaten!$A$56,1,0)</f>
        <v>0</v>
      </c>
      <c r="U36" s="89">
        <f>IF($G36=BasisDaten!$A$57,1,0)</f>
        <v>0</v>
      </c>
      <c r="V36" s="89">
        <f>IF($G36=BasisDaten!$A$58,1,0)</f>
        <v>0</v>
      </c>
      <c r="W36" s="88">
        <f>IF($H36=BasisDaten!$A$60,1,0)</f>
        <v>0</v>
      </c>
      <c r="X36" s="88">
        <f>IF($H36=BasisDaten!$A$61,1,0)</f>
        <v>0</v>
      </c>
      <c r="Y36" s="88">
        <f>IF($H36=BasisDaten!$A$62,1,0)</f>
        <v>0</v>
      </c>
      <c r="Z36" s="89">
        <f>IF($I36=BasisDaten!$A$63,1,0)</f>
        <v>0</v>
      </c>
      <c r="AA36" s="89">
        <f>IF($I36=BasisDaten!$A$64,1,0)</f>
        <v>0</v>
      </c>
      <c r="AB36" s="89">
        <f>IF($I36=BasisDaten!$A$65,1,0)</f>
        <v>0</v>
      </c>
      <c r="AC36" s="89">
        <f t="shared" si="10"/>
        <v>0.7</v>
      </c>
      <c r="AD36" s="88">
        <f t="shared" si="11"/>
        <v>1</v>
      </c>
      <c r="AE36" s="88">
        <f t="shared" si="12"/>
        <v>2</v>
      </c>
      <c r="AF36" s="88">
        <f t="shared" si="13"/>
        <v>2</v>
      </c>
      <c r="AG36" s="89">
        <f t="shared" si="14"/>
        <v>15</v>
      </c>
      <c r="AH36" s="89">
        <f t="shared" si="15"/>
        <v>22</v>
      </c>
      <c r="AI36" s="89">
        <f t="shared" si="16"/>
        <v>16</v>
      </c>
      <c r="AJ36" s="21">
        <f t="shared" si="17"/>
        <v>53</v>
      </c>
      <c r="AK36" s="21">
        <f t="shared" si="18"/>
        <v>37.099999999999994</v>
      </c>
    </row>
    <row r="37" spans="1:37" x14ac:dyDescent="0.25">
      <c r="A37" s="23" t="s">
        <v>95</v>
      </c>
      <c r="B37" s="24"/>
      <c r="C37" s="24"/>
      <c r="D37" s="25"/>
      <c r="E37" s="26"/>
      <c r="F37" s="26"/>
      <c r="G37" s="26"/>
      <c r="H37" s="26"/>
      <c r="I37" s="26"/>
      <c r="J37" s="87">
        <f t="shared" si="0"/>
        <v>0</v>
      </c>
      <c r="K37" s="88">
        <f>IF($B$10=BasisDaten!$A$74,1,0)</f>
        <v>0</v>
      </c>
      <c r="L37" s="88">
        <f>IF($B$10=BasisDaten!$A$75,1,0)</f>
        <v>0</v>
      </c>
      <c r="M37" s="88">
        <f>IF($B$10=BasisDaten!$A$76,1,0)</f>
        <v>1</v>
      </c>
      <c r="N37" s="89">
        <f>IF($E37=BasisDaten!$A$49,1,0)</f>
        <v>0</v>
      </c>
      <c r="O37" s="89">
        <f>IF($E37=BasisDaten!$A$50,1,0)</f>
        <v>0</v>
      </c>
      <c r="P37" s="89">
        <f>IF($E37=BasisDaten!$A$51,1,0)</f>
        <v>0</v>
      </c>
      <c r="Q37" s="88">
        <f>IF($F37=BasisDaten!$A$53,1,0)</f>
        <v>0</v>
      </c>
      <c r="R37" s="88">
        <f>IF($F37=BasisDaten!$A$54,1,0)</f>
        <v>0</v>
      </c>
      <c r="S37" s="88">
        <f>IF($F37=BasisDaten!$A$55,1,0)</f>
        <v>0</v>
      </c>
      <c r="T37" s="89">
        <f>IF($G37=BasisDaten!$A$56,1,0)</f>
        <v>0</v>
      </c>
      <c r="U37" s="89">
        <f>IF($G37=BasisDaten!$A$57,1,0)</f>
        <v>0</v>
      </c>
      <c r="V37" s="89">
        <f>IF($G37=BasisDaten!$A$58,1,0)</f>
        <v>0</v>
      </c>
      <c r="W37" s="88">
        <f>IF($H37=BasisDaten!$A$60,1,0)</f>
        <v>0</v>
      </c>
      <c r="X37" s="88">
        <f>IF($H37=BasisDaten!$A$61,1,0)</f>
        <v>0</v>
      </c>
      <c r="Y37" s="88">
        <f>IF($H37=BasisDaten!$A$62,1,0)</f>
        <v>0</v>
      </c>
      <c r="Z37" s="89">
        <f>IF($I37=BasisDaten!$A$63,1,0)</f>
        <v>0</v>
      </c>
      <c r="AA37" s="89">
        <f>IF($I37=BasisDaten!$A$64,1,0)</f>
        <v>0</v>
      </c>
      <c r="AB37" s="89">
        <f>IF($I37=BasisDaten!$A$65,1,0)</f>
        <v>0</v>
      </c>
      <c r="AC37" s="89">
        <f t="shared" si="10"/>
        <v>0.7</v>
      </c>
      <c r="AD37" s="88">
        <f t="shared" si="11"/>
        <v>1</v>
      </c>
      <c r="AE37" s="88">
        <f t="shared" si="12"/>
        <v>2</v>
      </c>
      <c r="AF37" s="88">
        <f t="shared" si="13"/>
        <v>2</v>
      </c>
      <c r="AG37" s="89">
        <f t="shared" si="14"/>
        <v>15</v>
      </c>
      <c r="AH37" s="89">
        <f t="shared" si="15"/>
        <v>22</v>
      </c>
      <c r="AI37" s="89">
        <f t="shared" si="16"/>
        <v>16</v>
      </c>
      <c r="AJ37" s="21">
        <f t="shared" si="17"/>
        <v>53</v>
      </c>
      <c r="AK37" s="21">
        <f t="shared" si="18"/>
        <v>37.099999999999994</v>
      </c>
    </row>
    <row r="38" spans="1:37" x14ac:dyDescent="0.25">
      <c r="A38" s="23" t="s">
        <v>96</v>
      </c>
      <c r="B38" s="24"/>
      <c r="C38" s="24"/>
      <c r="D38" s="25"/>
      <c r="E38" s="26"/>
      <c r="F38" s="26"/>
      <c r="G38" s="26"/>
      <c r="H38" s="26"/>
      <c r="I38" s="26"/>
      <c r="J38" s="87">
        <f t="shared" si="0"/>
        <v>0</v>
      </c>
      <c r="K38" s="88">
        <f>IF($B$10=BasisDaten!$A$74,1,0)</f>
        <v>0</v>
      </c>
      <c r="L38" s="88">
        <f>IF($B$10=BasisDaten!$A$75,1,0)</f>
        <v>0</v>
      </c>
      <c r="M38" s="88">
        <f>IF($B$10=BasisDaten!$A$76,1,0)</f>
        <v>1</v>
      </c>
      <c r="N38" s="89">
        <f>IF($E38=BasisDaten!$A$49,1,0)</f>
        <v>0</v>
      </c>
      <c r="O38" s="89">
        <f>IF($E38=BasisDaten!$A$50,1,0)</f>
        <v>0</v>
      </c>
      <c r="P38" s="89">
        <f>IF($E38=BasisDaten!$A$51,1,0)</f>
        <v>0</v>
      </c>
      <c r="Q38" s="88">
        <f>IF($F38=BasisDaten!$A$53,1,0)</f>
        <v>0</v>
      </c>
      <c r="R38" s="88">
        <f>IF($F38=BasisDaten!$A$54,1,0)</f>
        <v>0</v>
      </c>
      <c r="S38" s="88">
        <f>IF($F38=BasisDaten!$A$55,1,0)</f>
        <v>0</v>
      </c>
      <c r="T38" s="89">
        <f>IF($G38=BasisDaten!$A$56,1,0)</f>
        <v>0</v>
      </c>
      <c r="U38" s="89">
        <f>IF($G38=BasisDaten!$A$57,1,0)</f>
        <v>0</v>
      </c>
      <c r="V38" s="89">
        <f>IF($G38=BasisDaten!$A$58,1,0)</f>
        <v>0</v>
      </c>
      <c r="W38" s="88">
        <f>IF($H38=BasisDaten!$A$60,1,0)</f>
        <v>0</v>
      </c>
      <c r="X38" s="88">
        <f>IF($H38=BasisDaten!$A$61,1,0)</f>
        <v>0</v>
      </c>
      <c r="Y38" s="88">
        <f>IF($H38=BasisDaten!$A$62,1,0)</f>
        <v>0</v>
      </c>
      <c r="Z38" s="89">
        <f>IF($I38=BasisDaten!$A$63,1,0)</f>
        <v>0</v>
      </c>
      <c r="AA38" s="89">
        <f>IF($I38=BasisDaten!$A$64,1,0)</f>
        <v>0</v>
      </c>
      <c r="AB38" s="89">
        <f>IF($I38=BasisDaten!$A$65,1,0)</f>
        <v>0</v>
      </c>
      <c r="AC38" s="89">
        <f t="shared" si="10"/>
        <v>0.7</v>
      </c>
      <c r="AD38" s="88">
        <f t="shared" si="11"/>
        <v>1</v>
      </c>
      <c r="AE38" s="88">
        <f t="shared" si="12"/>
        <v>2</v>
      </c>
      <c r="AF38" s="88">
        <f t="shared" si="13"/>
        <v>2</v>
      </c>
      <c r="AG38" s="89">
        <f t="shared" si="14"/>
        <v>15</v>
      </c>
      <c r="AH38" s="89">
        <f t="shared" si="15"/>
        <v>22</v>
      </c>
      <c r="AI38" s="89">
        <f t="shared" si="16"/>
        <v>16</v>
      </c>
      <c r="AJ38" s="21">
        <f t="shared" si="17"/>
        <v>53</v>
      </c>
      <c r="AK38" s="21">
        <f t="shared" si="18"/>
        <v>37.099999999999994</v>
      </c>
    </row>
    <row r="39" spans="1:37" x14ac:dyDescent="0.25">
      <c r="A39" s="23" t="s">
        <v>97</v>
      </c>
      <c r="B39" s="24"/>
      <c r="C39" s="24"/>
      <c r="D39" s="25"/>
      <c r="E39" s="26"/>
      <c r="F39" s="26"/>
      <c r="G39" s="26"/>
      <c r="H39" s="26"/>
      <c r="I39" s="26"/>
      <c r="J39" s="87">
        <f t="shared" si="0"/>
        <v>0</v>
      </c>
      <c r="K39" s="88">
        <f>IF($B$10=BasisDaten!$A$74,1,0)</f>
        <v>0</v>
      </c>
      <c r="L39" s="88">
        <f>IF($B$10=BasisDaten!$A$75,1,0)</f>
        <v>0</v>
      </c>
      <c r="M39" s="88">
        <f>IF($B$10=BasisDaten!$A$76,1,0)</f>
        <v>1</v>
      </c>
      <c r="N39" s="89">
        <f>IF($E39=BasisDaten!$A$49,1,0)</f>
        <v>0</v>
      </c>
      <c r="O39" s="89">
        <f>IF($E39=BasisDaten!$A$50,1,0)</f>
        <v>0</v>
      </c>
      <c r="P39" s="89">
        <f>IF($E39=BasisDaten!$A$51,1,0)</f>
        <v>0</v>
      </c>
      <c r="Q39" s="88">
        <f>IF($F39=BasisDaten!$A$53,1,0)</f>
        <v>0</v>
      </c>
      <c r="R39" s="88">
        <f>IF($F39=BasisDaten!$A$54,1,0)</f>
        <v>0</v>
      </c>
      <c r="S39" s="88">
        <f>IF($F39=BasisDaten!$A$55,1,0)</f>
        <v>0</v>
      </c>
      <c r="T39" s="89">
        <f>IF($G39=BasisDaten!$A$56,1,0)</f>
        <v>0</v>
      </c>
      <c r="U39" s="89">
        <f>IF($G39=BasisDaten!$A$57,1,0)</f>
        <v>0</v>
      </c>
      <c r="V39" s="89">
        <f>IF($G39=BasisDaten!$A$58,1,0)</f>
        <v>0</v>
      </c>
      <c r="W39" s="88">
        <f>IF($H39=BasisDaten!$A$60,1,0)</f>
        <v>0</v>
      </c>
      <c r="X39" s="88">
        <f>IF($H39=BasisDaten!$A$61,1,0)</f>
        <v>0</v>
      </c>
      <c r="Y39" s="88">
        <f>IF($H39=BasisDaten!$A$62,1,0)</f>
        <v>0</v>
      </c>
      <c r="Z39" s="89">
        <f>IF($I39=BasisDaten!$A$63,1,0)</f>
        <v>0</v>
      </c>
      <c r="AA39" s="89">
        <f>IF($I39=BasisDaten!$A$64,1,0)</f>
        <v>0</v>
      </c>
      <c r="AB39" s="89">
        <f>IF($I39=BasisDaten!$A$65,1,0)</f>
        <v>0</v>
      </c>
      <c r="AC39" s="89">
        <f t="shared" si="10"/>
        <v>0.7</v>
      </c>
      <c r="AD39" s="88">
        <f t="shared" si="11"/>
        <v>1</v>
      </c>
      <c r="AE39" s="88">
        <f t="shared" si="12"/>
        <v>2</v>
      </c>
      <c r="AF39" s="88">
        <f t="shared" si="13"/>
        <v>2</v>
      </c>
      <c r="AG39" s="89">
        <f t="shared" si="14"/>
        <v>15</v>
      </c>
      <c r="AH39" s="89">
        <f t="shared" si="15"/>
        <v>22</v>
      </c>
      <c r="AI39" s="89">
        <f t="shared" si="16"/>
        <v>16</v>
      </c>
      <c r="AJ39" s="21">
        <f t="shared" si="17"/>
        <v>53</v>
      </c>
      <c r="AK39" s="21">
        <f t="shared" si="18"/>
        <v>37.099999999999994</v>
      </c>
    </row>
    <row r="40" spans="1:37" x14ac:dyDescent="0.25">
      <c r="A40" s="23" t="s">
        <v>98</v>
      </c>
      <c r="B40" s="24"/>
      <c r="C40" s="24"/>
      <c r="D40" s="25"/>
      <c r="E40" s="26"/>
      <c r="F40" s="26"/>
      <c r="G40" s="26"/>
      <c r="H40" s="26"/>
      <c r="I40" s="26"/>
      <c r="J40" s="87">
        <f t="shared" si="0"/>
        <v>0</v>
      </c>
      <c r="K40" s="88">
        <f>IF($B$10=BasisDaten!$A$74,1,0)</f>
        <v>0</v>
      </c>
      <c r="L40" s="88">
        <f>IF($B$10=BasisDaten!$A$75,1,0)</f>
        <v>0</v>
      </c>
      <c r="M40" s="88">
        <f>IF($B$10=BasisDaten!$A$76,1,0)</f>
        <v>1</v>
      </c>
      <c r="N40" s="89">
        <f>IF($E40=BasisDaten!$A$49,1,0)</f>
        <v>0</v>
      </c>
      <c r="O40" s="89">
        <f>IF($E40=BasisDaten!$A$50,1,0)</f>
        <v>0</v>
      </c>
      <c r="P40" s="89">
        <f>IF($E40=BasisDaten!$A$51,1,0)</f>
        <v>0</v>
      </c>
      <c r="Q40" s="88">
        <f>IF($F40=BasisDaten!$A$53,1,0)</f>
        <v>0</v>
      </c>
      <c r="R40" s="88">
        <f>IF($F40=BasisDaten!$A$54,1,0)</f>
        <v>0</v>
      </c>
      <c r="S40" s="88">
        <f>IF($F40=BasisDaten!$A$55,1,0)</f>
        <v>0</v>
      </c>
      <c r="T40" s="89">
        <f>IF($G40=BasisDaten!$A$56,1,0)</f>
        <v>0</v>
      </c>
      <c r="U40" s="89">
        <f>IF($G40=BasisDaten!$A$57,1,0)</f>
        <v>0</v>
      </c>
      <c r="V40" s="89">
        <f>IF($G40=BasisDaten!$A$58,1,0)</f>
        <v>0</v>
      </c>
      <c r="W40" s="88">
        <f>IF($H40=BasisDaten!$A$60,1,0)</f>
        <v>0</v>
      </c>
      <c r="X40" s="88">
        <f>IF($H40=BasisDaten!$A$61,1,0)</f>
        <v>0</v>
      </c>
      <c r="Y40" s="88">
        <f>IF($H40=BasisDaten!$A$62,1,0)</f>
        <v>0</v>
      </c>
      <c r="Z40" s="89">
        <f>IF($I40=BasisDaten!$A$63,1,0)</f>
        <v>0</v>
      </c>
      <c r="AA40" s="89">
        <f>IF($I40=BasisDaten!$A$64,1,0)</f>
        <v>0</v>
      </c>
      <c r="AB40" s="89">
        <f>IF($I40=BasisDaten!$A$65,1,0)</f>
        <v>0</v>
      </c>
      <c r="AC40" s="89">
        <f t="shared" si="10"/>
        <v>0.7</v>
      </c>
      <c r="AD40" s="88">
        <f t="shared" si="11"/>
        <v>1</v>
      </c>
      <c r="AE40" s="88">
        <f t="shared" si="12"/>
        <v>2</v>
      </c>
      <c r="AF40" s="88">
        <f t="shared" si="13"/>
        <v>2</v>
      </c>
      <c r="AG40" s="89">
        <f t="shared" si="14"/>
        <v>15</v>
      </c>
      <c r="AH40" s="89">
        <f t="shared" si="15"/>
        <v>22</v>
      </c>
      <c r="AI40" s="89">
        <f t="shared" si="16"/>
        <v>16</v>
      </c>
      <c r="AJ40" s="21">
        <f t="shared" si="17"/>
        <v>53</v>
      </c>
      <c r="AK40" s="21">
        <f t="shared" si="18"/>
        <v>37.099999999999994</v>
      </c>
    </row>
    <row r="41" spans="1:37" x14ac:dyDescent="0.25">
      <c r="A41" s="23" t="s">
        <v>99</v>
      </c>
      <c r="B41" s="24"/>
      <c r="C41" s="24"/>
      <c r="D41" s="25"/>
      <c r="E41" s="26"/>
      <c r="F41" s="26"/>
      <c r="G41" s="26"/>
      <c r="H41" s="26"/>
      <c r="I41" s="26"/>
      <c r="J41" s="87">
        <f t="shared" si="0"/>
        <v>0</v>
      </c>
      <c r="K41" s="88">
        <f>IF($B$10=BasisDaten!$A$74,1,0)</f>
        <v>0</v>
      </c>
      <c r="L41" s="88">
        <f>IF($B$10=BasisDaten!$A$75,1,0)</f>
        <v>0</v>
      </c>
      <c r="M41" s="88">
        <f>IF($B$10=BasisDaten!$A$76,1,0)</f>
        <v>1</v>
      </c>
      <c r="N41" s="89">
        <f>IF($E41=BasisDaten!$A$49,1,0)</f>
        <v>0</v>
      </c>
      <c r="O41" s="89">
        <f>IF($E41=BasisDaten!$A$50,1,0)</f>
        <v>0</v>
      </c>
      <c r="P41" s="89">
        <f>IF($E41=BasisDaten!$A$51,1,0)</f>
        <v>0</v>
      </c>
      <c r="Q41" s="88">
        <f>IF($F41=BasisDaten!$A$53,1,0)</f>
        <v>0</v>
      </c>
      <c r="R41" s="88">
        <f>IF($F41=BasisDaten!$A$54,1,0)</f>
        <v>0</v>
      </c>
      <c r="S41" s="88">
        <f>IF($F41=BasisDaten!$A$55,1,0)</f>
        <v>0</v>
      </c>
      <c r="T41" s="89">
        <f>IF($G41=BasisDaten!$A$56,1,0)</f>
        <v>0</v>
      </c>
      <c r="U41" s="89">
        <f>IF($G41=BasisDaten!$A$57,1,0)</f>
        <v>0</v>
      </c>
      <c r="V41" s="89">
        <f>IF($G41=BasisDaten!$A$58,1,0)</f>
        <v>0</v>
      </c>
      <c r="W41" s="88">
        <f>IF($H41=BasisDaten!$A$60,1,0)</f>
        <v>0</v>
      </c>
      <c r="X41" s="88">
        <f>IF($H41=BasisDaten!$A$61,1,0)</f>
        <v>0</v>
      </c>
      <c r="Y41" s="88">
        <f>IF($H41=BasisDaten!$A$62,1,0)</f>
        <v>0</v>
      </c>
      <c r="Z41" s="89">
        <f>IF($I41=BasisDaten!$A$63,1,0)</f>
        <v>0</v>
      </c>
      <c r="AA41" s="89">
        <f>IF($I41=BasisDaten!$A$64,1,0)</f>
        <v>0</v>
      </c>
      <c r="AB41" s="89">
        <f>IF($I41=BasisDaten!$A$65,1,0)</f>
        <v>0</v>
      </c>
      <c r="AC41" s="89">
        <f t="shared" si="10"/>
        <v>0.7</v>
      </c>
      <c r="AD41" s="88">
        <f t="shared" si="11"/>
        <v>1</v>
      </c>
      <c r="AE41" s="88">
        <f t="shared" si="12"/>
        <v>2</v>
      </c>
      <c r="AF41" s="88">
        <f t="shared" si="13"/>
        <v>2</v>
      </c>
      <c r="AG41" s="89">
        <f t="shared" si="14"/>
        <v>15</v>
      </c>
      <c r="AH41" s="89">
        <f t="shared" si="15"/>
        <v>22</v>
      </c>
      <c r="AI41" s="89">
        <f t="shared" si="16"/>
        <v>16</v>
      </c>
      <c r="AJ41" s="21">
        <f t="shared" si="17"/>
        <v>53</v>
      </c>
      <c r="AK41" s="21">
        <f t="shared" si="18"/>
        <v>37.099999999999994</v>
      </c>
    </row>
    <row r="42" spans="1:37" x14ac:dyDescent="0.25">
      <c r="A42" s="23" t="s">
        <v>100</v>
      </c>
      <c r="B42" s="24"/>
      <c r="C42" s="24"/>
      <c r="D42" s="25"/>
      <c r="E42" s="26"/>
      <c r="F42" s="26"/>
      <c r="G42" s="26"/>
      <c r="H42" s="26"/>
      <c r="I42" s="26"/>
      <c r="J42" s="87">
        <f t="shared" si="0"/>
        <v>0</v>
      </c>
      <c r="K42" s="88">
        <f>IF($B$10=BasisDaten!$A$74,1,0)</f>
        <v>0</v>
      </c>
      <c r="L42" s="88">
        <f>IF($B$10=BasisDaten!$A$75,1,0)</f>
        <v>0</v>
      </c>
      <c r="M42" s="88">
        <f>IF($B$10=BasisDaten!$A$76,1,0)</f>
        <v>1</v>
      </c>
      <c r="N42" s="89">
        <f>IF($E42=BasisDaten!$A$49,1,0)</f>
        <v>0</v>
      </c>
      <c r="O42" s="89">
        <f>IF($E42=BasisDaten!$A$50,1,0)</f>
        <v>0</v>
      </c>
      <c r="P42" s="89">
        <f>IF($E42=BasisDaten!$A$51,1,0)</f>
        <v>0</v>
      </c>
      <c r="Q42" s="88">
        <f>IF($F42=BasisDaten!$A$53,1,0)</f>
        <v>0</v>
      </c>
      <c r="R42" s="88">
        <f>IF($F42=BasisDaten!$A$54,1,0)</f>
        <v>0</v>
      </c>
      <c r="S42" s="88">
        <f>IF($F42=BasisDaten!$A$55,1,0)</f>
        <v>0</v>
      </c>
      <c r="T42" s="89">
        <f>IF($G42=BasisDaten!$A$56,1,0)</f>
        <v>0</v>
      </c>
      <c r="U42" s="89">
        <f>IF($G42=BasisDaten!$A$57,1,0)</f>
        <v>0</v>
      </c>
      <c r="V42" s="89">
        <f>IF($G42=BasisDaten!$A$58,1,0)</f>
        <v>0</v>
      </c>
      <c r="W42" s="88">
        <f>IF($H42=BasisDaten!$A$60,1,0)</f>
        <v>0</v>
      </c>
      <c r="X42" s="88">
        <f>IF($H42=BasisDaten!$A$61,1,0)</f>
        <v>0</v>
      </c>
      <c r="Y42" s="88">
        <f>IF($H42=BasisDaten!$A$62,1,0)</f>
        <v>0</v>
      </c>
      <c r="Z42" s="89">
        <f>IF($I42=BasisDaten!$A$63,1,0)</f>
        <v>0</v>
      </c>
      <c r="AA42" s="89">
        <f>IF($I42=BasisDaten!$A$64,1,0)</f>
        <v>0</v>
      </c>
      <c r="AB42" s="89">
        <f>IF($I42=BasisDaten!$A$65,1,0)</f>
        <v>0</v>
      </c>
      <c r="AC42" s="89">
        <f t="shared" si="10"/>
        <v>0.7</v>
      </c>
      <c r="AD42" s="88">
        <f t="shared" si="11"/>
        <v>1</v>
      </c>
      <c r="AE42" s="88">
        <f t="shared" si="12"/>
        <v>2</v>
      </c>
      <c r="AF42" s="88">
        <f t="shared" si="13"/>
        <v>2</v>
      </c>
      <c r="AG42" s="89">
        <f t="shared" si="14"/>
        <v>15</v>
      </c>
      <c r="AH42" s="89">
        <f t="shared" si="15"/>
        <v>22</v>
      </c>
      <c r="AI42" s="89">
        <f t="shared" si="16"/>
        <v>16</v>
      </c>
      <c r="AJ42" s="21">
        <f t="shared" si="17"/>
        <v>53</v>
      </c>
      <c r="AK42" s="21">
        <f t="shared" si="18"/>
        <v>37.099999999999994</v>
      </c>
    </row>
    <row r="43" spans="1:37" x14ac:dyDescent="0.25">
      <c r="A43" s="23" t="s">
        <v>101</v>
      </c>
      <c r="B43" s="24"/>
      <c r="C43" s="24"/>
      <c r="D43" s="25"/>
      <c r="E43" s="26"/>
      <c r="F43" s="26"/>
      <c r="G43" s="26"/>
      <c r="H43" s="26"/>
      <c r="I43" s="26"/>
      <c r="J43" s="87">
        <f t="shared" si="0"/>
        <v>0</v>
      </c>
      <c r="K43" s="88">
        <f>IF($B$10=BasisDaten!$A$74,1,0)</f>
        <v>0</v>
      </c>
      <c r="L43" s="88">
        <f>IF($B$10=BasisDaten!$A$75,1,0)</f>
        <v>0</v>
      </c>
      <c r="M43" s="88">
        <f>IF($B$10=BasisDaten!$A$76,1,0)</f>
        <v>1</v>
      </c>
      <c r="N43" s="89">
        <f>IF($E43=BasisDaten!$A$49,1,0)</f>
        <v>0</v>
      </c>
      <c r="O43" s="89">
        <f>IF($E43=BasisDaten!$A$50,1,0)</f>
        <v>0</v>
      </c>
      <c r="P43" s="89">
        <f>IF($E43=BasisDaten!$A$51,1,0)</f>
        <v>0</v>
      </c>
      <c r="Q43" s="88">
        <f>IF($F43=BasisDaten!$A$53,1,0)</f>
        <v>0</v>
      </c>
      <c r="R43" s="88">
        <f>IF($F43=BasisDaten!$A$54,1,0)</f>
        <v>0</v>
      </c>
      <c r="S43" s="88">
        <f>IF($F43=BasisDaten!$A$55,1,0)</f>
        <v>0</v>
      </c>
      <c r="T43" s="89">
        <f>IF($G43=BasisDaten!$A$56,1,0)</f>
        <v>0</v>
      </c>
      <c r="U43" s="89">
        <f>IF($G43=BasisDaten!$A$57,1,0)</f>
        <v>0</v>
      </c>
      <c r="V43" s="89">
        <f>IF($G43=BasisDaten!$A$58,1,0)</f>
        <v>0</v>
      </c>
      <c r="W43" s="88">
        <f>IF($H43=BasisDaten!$A$60,1,0)</f>
        <v>0</v>
      </c>
      <c r="X43" s="88">
        <f>IF($H43=BasisDaten!$A$61,1,0)</f>
        <v>0</v>
      </c>
      <c r="Y43" s="88">
        <f>IF($H43=BasisDaten!$A$62,1,0)</f>
        <v>0</v>
      </c>
      <c r="Z43" s="89">
        <f>IF($I43=BasisDaten!$A$63,1,0)</f>
        <v>0</v>
      </c>
      <c r="AA43" s="89">
        <f>IF($I43=BasisDaten!$A$64,1,0)</f>
        <v>0</v>
      </c>
      <c r="AB43" s="89">
        <f>IF($I43=BasisDaten!$A$65,1,0)</f>
        <v>0</v>
      </c>
      <c r="AC43" s="89">
        <f t="shared" si="10"/>
        <v>0.7</v>
      </c>
      <c r="AD43" s="88">
        <f t="shared" si="11"/>
        <v>1</v>
      </c>
      <c r="AE43" s="88">
        <f t="shared" si="12"/>
        <v>2</v>
      </c>
      <c r="AF43" s="88">
        <f t="shared" si="13"/>
        <v>2</v>
      </c>
      <c r="AG43" s="89">
        <f t="shared" si="14"/>
        <v>15</v>
      </c>
      <c r="AH43" s="89">
        <f t="shared" si="15"/>
        <v>22</v>
      </c>
      <c r="AI43" s="89">
        <f t="shared" si="16"/>
        <v>16</v>
      </c>
      <c r="AJ43" s="21">
        <f t="shared" si="17"/>
        <v>53</v>
      </c>
      <c r="AK43" s="21">
        <f t="shared" si="18"/>
        <v>37.099999999999994</v>
      </c>
    </row>
    <row r="44" spans="1:37" x14ac:dyDescent="0.25">
      <c r="A44" s="23" t="s">
        <v>102</v>
      </c>
      <c r="B44" s="24"/>
      <c r="C44" s="24"/>
      <c r="D44" s="25"/>
      <c r="E44" s="26"/>
      <c r="F44" s="26"/>
      <c r="G44" s="26"/>
      <c r="H44" s="26"/>
      <c r="I44" s="26"/>
      <c r="J44" s="87">
        <f t="shared" si="0"/>
        <v>0</v>
      </c>
      <c r="K44" s="88">
        <f>IF($B$10=BasisDaten!$A$74,1,0)</f>
        <v>0</v>
      </c>
      <c r="L44" s="88">
        <f>IF($B$10=BasisDaten!$A$75,1,0)</f>
        <v>0</v>
      </c>
      <c r="M44" s="88">
        <f>IF($B$10=BasisDaten!$A$76,1,0)</f>
        <v>1</v>
      </c>
      <c r="N44" s="89">
        <f>IF($E44=BasisDaten!$A$49,1,0)</f>
        <v>0</v>
      </c>
      <c r="O44" s="89">
        <f>IF($E44=BasisDaten!$A$50,1,0)</f>
        <v>0</v>
      </c>
      <c r="P44" s="89">
        <f>IF($E44=BasisDaten!$A$51,1,0)</f>
        <v>0</v>
      </c>
      <c r="Q44" s="88">
        <f>IF($F44=BasisDaten!$A$53,1,0)</f>
        <v>0</v>
      </c>
      <c r="R44" s="88">
        <f>IF($F44=BasisDaten!$A$54,1,0)</f>
        <v>0</v>
      </c>
      <c r="S44" s="88">
        <f>IF($F44=BasisDaten!$A$55,1,0)</f>
        <v>0</v>
      </c>
      <c r="T44" s="89">
        <f>IF($G44=BasisDaten!$A$56,1,0)</f>
        <v>0</v>
      </c>
      <c r="U44" s="89">
        <f>IF($G44=BasisDaten!$A$57,1,0)</f>
        <v>0</v>
      </c>
      <c r="V44" s="89">
        <f>IF($G44=BasisDaten!$A$58,1,0)</f>
        <v>0</v>
      </c>
      <c r="W44" s="88">
        <f>IF($H44=BasisDaten!$A$60,1,0)</f>
        <v>0</v>
      </c>
      <c r="X44" s="88">
        <f>IF($H44=BasisDaten!$A$61,1,0)</f>
        <v>0</v>
      </c>
      <c r="Y44" s="88">
        <f>IF($H44=BasisDaten!$A$62,1,0)</f>
        <v>0</v>
      </c>
      <c r="Z44" s="89">
        <f>IF($I44=BasisDaten!$A$63,1,0)</f>
        <v>0</v>
      </c>
      <c r="AA44" s="89">
        <f>IF($I44=BasisDaten!$A$64,1,0)</f>
        <v>0</v>
      </c>
      <c r="AB44" s="89">
        <f>IF($I44=BasisDaten!$A$65,1,0)</f>
        <v>0</v>
      </c>
      <c r="AC44" s="89">
        <f t="shared" si="10"/>
        <v>0.7</v>
      </c>
      <c r="AD44" s="88">
        <f t="shared" si="11"/>
        <v>1</v>
      </c>
      <c r="AE44" s="88">
        <f t="shared" si="12"/>
        <v>2</v>
      </c>
      <c r="AF44" s="88">
        <f t="shared" si="13"/>
        <v>2</v>
      </c>
      <c r="AG44" s="89">
        <f t="shared" si="14"/>
        <v>15</v>
      </c>
      <c r="AH44" s="89">
        <f t="shared" si="15"/>
        <v>22</v>
      </c>
      <c r="AI44" s="89">
        <f t="shared" si="16"/>
        <v>16</v>
      </c>
      <c r="AJ44" s="21">
        <f t="shared" si="17"/>
        <v>53</v>
      </c>
      <c r="AK44" s="21">
        <f t="shared" si="18"/>
        <v>37.099999999999994</v>
      </c>
    </row>
    <row r="45" spans="1:37" x14ac:dyDescent="0.25">
      <c r="A45" s="23" t="s">
        <v>103</v>
      </c>
      <c r="B45" s="24"/>
      <c r="C45" s="24"/>
      <c r="D45" s="25"/>
      <c r="E45" s="26"/>
      <c r="F45" s="26"/>
      <c r="G45" s="26"/>
      <c r="H45" s="26"/>
      <c r="I45" s="26"/>
      <c r="J45" s="87">
        <f t="shared" si="0"/>
        <v>0</v>
      </c>
      <c r="K45" s="88">
        <f>IF($B$10=BasisDaten!$A$74,1,0)</f>
        <v>0</v>
      </c>
      <c r="L45" s="88">
        <f>IF($B$10=BasisDaten!$A$75,1,0)</f>
        <v>0</v>
      </c>
      <c r="M45" s="88">
        <f>IF($B$10=BasisDaten!$A$76,1,0)</f>
        <v>1</v>
      </c>
      <c r="N45" s="89">
        <f>IF($E45=BasisDaten!$A$49,1,0)</f>
        <v>0</v>
      </c>
      <c r="O45" s="89">
        <f>IF($E45=BasisDaten!$A$50,1,0)</f>
        <v>0</v>
      </c>
      <c r="P45" s="89">
        <f>IF($E45=BasisDaten!$A$51,1,0)</f>
        <v>0</v>
      </c>
      <c r="Q45" s="88">
        <f>IF($F45=BasisDaten!$A$53,1,0)</f>
        <v>0</v>
      </c>
      <c r="R45" s="88">
        <f>IF($F45=BasisDaten!$A$54,1,0)</f>
        <v>0</v>
      </c>
      <c r="S45" s="88">
        <f>IF($F45=BasisDaten!$A$55,1,0)</f>
        <v>0</v>
      </c>
      <c r="T45" s="89">
        <f>IF($G45=BasisDaten!$A$56,1,0)</f>
        <v>0</v>
      </c>
      <c r="U45" s="89">
        <f>IF($G45=BasisDaten!$A$57,1,0)</f>
        <v>0</v>
      </c>
      <c r="V45" s="89">
        <f>IF($G45=BasisDaten!$A$58,1,0)</f>
        <v>0</v>
      </c>
      <c r="W45" s="88">
        <f>IF($H45=BasisDaten!$A$60,1,0)</f>
        <v>0</v>
      </c>
      <c r="X45" s="88">
        <f>IF($H45=BasisDaten!$A$61,1,0)</f>
        <v>0</v>
      </c>
      <c r="Y45" s="88">
        <f>IF($H45=BasisDaten!$A$62,1,0)</f>
        <v>0</v>
      </c>
      <c r="Z45" s="89">
        <f>IF($I45=BasisDaten!$A$63,1,0)</f>
        <v>0</v>
      </c>
      <c r="AA45" s="89">
        <f>IF($I45=BasisDaten!$A$64,1,0)</f>
        <v>0</v>
      </c>
      <c r="AB45" s="89">
        <f>IF($I45=BasisDaten!$A$65,1,0)</f>
        <v>0</v>
      </c>
      <c r="AC45" s="89">
        <f t="shared" si="10"/>
        <v>0.7</v>
      </c>
      <c r="AD45" s="88">
        <f t="shared" si="11"/>
        <v>1</v>
      </c>
      <c r="AE45" s="88">
        <f t="shared" si="12"/>
        <v>2</v>
      </c>
      <c r="AF45" s="88">
        <f t="shared" si="13"/>
        <v>2</v>
      </c>
      <c r="AG45" s="89">
        <f t="shared" si="14"/>
        <v>15</v>
      </c>
      <c r="AH45" s="89">
        <f t="shared" si="15"/>
        <v>22</v>
      </c>
      <c r="AI45" s="89">
        <f t="shared" si="16"/>
        <v>16</v>
      </c>
      <c r="AJ45" s="21">
        <f t="shared" si="17"/>
        <v>53</v>
      </c>
      <c r="AK45" s="21">
        <f t="shared" si="18"/>
        <v>37.099999999999994</v>
      </c>
    </row>
    <row r="46" spans="1:37" x14ac:dyDescent="0.25">
      <c r="A46" s="23" t="s">
        <v>104</v>
      </c>
      <c r="B46" s="24"/>
      <c r="C46" s="24"/>
      <c r="D46" s="25"/>
      <c r="E46" s="26"/>
      <c r="F46" s="26"/>
      <c r="G46" s="26"/>
      <c r="H46" s="26"/>
      <c r="I46" s="26"/>
      <c r="J46" s="87">
        <f t="shared" si="0"/>
        <v>0</v>
      </c>
      <c r="K46" s="88">
        <f>IF($B$10=BasisDaten!$A$74,1,0)</f>
        <v>0</v>
      </c>
      <c r="L46" s="88">
        <f>IF($B$10=BasisDaten!$A$75,1,0)</f>
        <v>0</v>
      </c>
      <c r="M46" s="88">
        <f>IF($B$10=BasisDaten!$A$76,1,0)</f>
        <v>1</v>
      </c>
      <c r="N46" s="89">
        <f>IF($E46=BasisDaten!$A$49,1,0)</f>
        <v>0</v>
      </c>
      <c r="O46" s="89">
        <f>IF($E46=BasisDaten!$A$50,1,0)</f>
        <v>0</v>
      </c>
      <c r="P46" s="89">
        <f>IF($E46=BasisDaten!$A$51,1,0)</f>
        <v>0</v>
      </c>
      <c r="Q46" s="88">
        <f>IF($F46=BasisDaten!$A$53,1,0)</f>
        <v>0</v>
      </c>
      <c r="R46" s="88">
        <f>IF($F46=BasisDaten!$A$54,1,0)</f>
        <v>0</v>
      </c>
      <c r="S46" s="88">
        <f>IF($F46=BasisDaten!$A$55,1,0)</f>
        <v>0</v>
      </c>
      <c r="T46" s="89">
        <f>IF($G46=BasisDaten!$A$56,1,0)</f>
        <v>0</v>
      </c>
      <c r="U46" s="89">
        <f>IF($G46=BasisDaten!$A$57,1,0)</f>
        <v>0</v>
      </c>
      <c r="V46" s="89">
        <f>IF($G46=BasisDaten!$A$58,1,0)</f>
        <v>0</v>
      </c>
      <c r="W46" s="88">
        <f>IF($H46=BasisDaten!$A$60,1,0)</f>
        <v>0</v>
      </c>
      <c r="X46" s="88">
        <f>IF($H46=BasisDaten!$A$61,1,0)</f>
        <v>0</v>
      </c>
      <c r="Y46" s="88">
        <f>IF($H46=BasisDaten!$A$62,1,0)</f>
        <v>0</v>
      </c>
      <c r="Z46" s="89">
        <f>IF($I46=BasisDaten!$A$63,1,0)</f>
        <v>0</v>
      </c>
      <c r="AA46" s="89">
        <f>IF($I46=BasisDaten!$A$64,1,0)</f>
        <v>0</v>
      </c>
      <c r="AB46" s="89">
        <f>IF($I46=BasisDaten!$A$65,1,0)</f>
        <v>0</v>
      </c>
      <c r="AC46" s="89">
        <f t="shared" si="10"/>
        <v>0.7</v>
      </c>
      <c r="AD46" s="88">
        <f t="shared" si="11"/>
        <v>1</v>
      </c>
      <c r="AE46" s="88">
        <f t="shared" si="12"/>
        <v>2</v>
      </c>
      <c r="AF46" s="88">
        <f t="shared" si="13"/>
        <v>2</v>
      </c>
      <c r="AG46" s="89">
        <f t="shared" si="14"/>
        <v>15</v>
      </c>
      <c r="AH46" s="89">
        <f t="shared" si="15"/>
        <v>22</v>
      </c>
      <c r="AI46" s="89">
        <f t="shared" si="16"/>
        <v>16</v>
      </c>
      <c r="AJ46" s="21">
        <f t="shared" si="17"/>
        <v>53</v>
      </c>
      <c r="AK46" s="21">
        <f t="shared" si="18"/>
        <v>37.099999999999994</v>
      </c>
    </row>
    <row r="47" spans="1:37" x14ac:dyDescent="0.25">
      <c r="A47" s="23" t="s">
        <v>105</v>
      </c>
      <c r="B47" s="24"/>
      <c r="C47" s="24"/>
      <c r="D47" s="25"/>
      <c r="E47" s="26"/>
      <c r="F47" s="26"/>
      <c r="G47" s="26"/>
      <c r="H47" s="26"/>
      <c r="I47" s="26"/>
      <c r="J47" s="87">
        <f t="shared" ref="J47:J64" si="19">$B47*$AK47*0.8/1000</f>
        <v>0</v>
      </c>
      <c r="K47" s="88">
        <f>IF($B$10=BasisDaten!$A$74,1,0)</f>
        <v>0</v>
      </c>
      <c r="L47" s="88">
        <f>IF($B$10=BasisDaten!$A$75,1,0)</f>
        <v>0</v>
      </c>
      <c r="M47" s="88">
        <f>IF($B$10=BasisDaten!$A$76,1,0)</f>
        <v>1</v>
      </c>
      <c r="N47" s="89">
        <f>IF($E47=BasisDaten!$A$49,1,0)</f>
        <v>0</v>
      </c>
      <c r="O47" s="89">
        <f>IF($E47=BasisDaten!$A$50,1,0)</f>
        <v>0</v>
      </c>
      <c r="P47" s="89">
        <f>IF($E47=BasisDaten!$A$51,1,0)</f>
        <v>0</v>
      </c>
      <c r="Q47" s="88">
        <f>IF($F47=BasisDaten!$A$53,1,0)</f>
        <v>0</v>
      </c>
      <c r="R47" s="88">
        <f>IF($F47=BasisDaten!$A$54,1,0)</f>
        <v>0</v>
      </c>
      <c r="S47" s="88">
        <f>IF($F47=BasisDaten!$A$55,1,0)</f>
        <v>0</v>
      </c>
      <c r="T47" s="89">
        <f>IF($G47=BasisDaten!$A$56,1,0)</f>
        <v>0</v>
      </c>
      <c r="U47" s="89">
        <f>IF($G47=BasisDaten!$A$57,1,0)</f>
        <v>0</v>
      </c>
      <c r="V47" s="89">
        <f>IF($G47=BasisDaten!$A$58,1,0)</f>
        <v>0</v>
      </c>
      <c r="W47" s="88">
        <f>IF($H47=BasisDaten!$A$60,1,0)</f>
        <v>0</v>
      </c>
      <c r="X47" s="88">
        <f>IF($H47=BasisDaten!$A$61,1,0)</f>
        <v>0</v>
      </c>
      <c r="Y47" s="88">
        <f>IF($H47=BasisDaten!$A$62,1,0)</f>
        <v>0</v>
      </c>
      <c r="Z47" s="89">
        <f>IF($I47=BasisDaten!$A$63,1,0)</f>
        <v>0</v>
      </c>
      <c r="AA47" s="89">
        <f>IF($I47=BasisDaten!$A$64,1,0)</f>
        <v>0</v>
      </c>
      <c r="AB47" s="89">
        <f>IF($I47=BasisDaten!$A$65,1,0)</f>
        <v>0</v>
      </c>
      <c r="AC47" s="89">
        <f t="shared" si="10"/>
        <v>0.7</v>
      </c>
      <c r="AD47" s="88">
        <f t="shared" si="11"/>
        <v>1</v>
      </c>
      <c r="AE47" s="88">
        <f t="shared" si="12"/>
        <v>2</v>
      </c>
      <c r="AF47" s="88">
        <f t="shared" si="13"/>
        <v>2</v>
      </c>
      <c r="AG47" s="89">
        <f t="shared" si="14"/>
        <v>15</v>
      </c>
      <c r="AH47" s="89">
        <f t="shared" si="15"/>
        <v>22</v>
      </c>
      <c r="AI47" s="89">
        <f t="shared" si="16"/>
        <v>16</v>
      </c>
      <c r="AJ47" s="21">
        <f t="shared" si="17"/>
        <v>53</v>
      </c>
      <c r="AK47" s="21">
        <f t="shared" si="18"/>
        <v>37.099999999999994</v>
      </c>
    </row>
    <row r="48" spans="1:37" x14ac:dyDescent="0.25">
      <c r="A48" s="23" t="s">
        <v>106</v>
      </c>
      <c r="B48" s="24"/>
      <c r="C48" s="24"/>
      <c r="D48" s="25"/>
      <c r="E48" s="26"/>
      <c r="F48" s="26"/>
      <c r="G48" s="26"/>
      <c r="H48" s="26"/>
      <c r="I48" s="26"/>
      <c r="J48" s="87">
        <f t="shared" si="19"/>
        <v>0</v>
      </c>
      <c r="K48" s="88">
        <f>IF($B$10=BasisDaten!$A$74,1,0)</f>
        <v>0</v>
      </c>
      <c r="L48" s="88">
        <f>IF($B$10=BasisDaten!$A$75,1,0)</f>
        <v>0</v>
      </c>
      <c r="M48" s="88">
        <f>IF($B$10=BasisDaten!$A$76,1,0)</f>
        <v>1</v>
      </c>
      <c r="N48" s="89">
        <f>IF($E48=BasisDaten!$A$49,1,0)</f>
        <v>0</v>
      </c>
      <c r="O48" s="89">
        <f>IF($E48=BasisDaten!$A$50,1,0)</f>
        <v>0</v>
      </c>
      <c r="P48" s="89">
        <f>IF($E48=BasisDaten!$A$51,1,0)</f>
        <v>0</v>
      </c>
      <c r="Q48" s="88">
        <f>IF($F48=BasisDaten!$A$53,1,0)</f>
        <v>0</v>
      </c>
      <c r="R48" s="88">
        <f>IF($F48=BasisDaten!$A$54,1,0)</f>
        <v>0</v>
      </c>
      <c r="S48" s="88">
        <f>IF($F48=BasisDaten!$A$55,1,0)</f>
        <v>0</v>
      </c>
      <c r="T48" s="89">
        <f>IF($G48=BasisDaten!$A$56,1,0)</f>
        <v>0</v>
      </c>
      <c r="U48" s="89">
        <f>IF($G48=BasisDaten!$A$57,1,0)</f>
        <v>0</v>
      </c>
      <c r="V48" s="89">
        <f>IF($G48=BasisDaten!$A$58,1,0)</f>
        <v>0</v>
      </c>
      <c r="W48" s="88">
        <f>IF($H48=BasisDaten!$A$60,1,0)</f>
        <v>0</v>
      </c>
      <c r="X48" s="88">
        <f>IF($H48=BasisDaten!$A$61,1,0)</f>
        <v>0</v>
      </c>
      <c r="Y48" s="88">
        <f>IF($H48=BasisDaten!$A$62,1,0)</f>
        <v>0</v>
      </c>
      <c r="Z48" s="89">
        <f>IF($I48=BasisDaten!$A$63,1,0)</f>
        <v>0</v>
      </c>
      <c r="AA48" s="89">
        <f>IF($I48=BasisDaten!$A$64,1,0)</f>
        <v>0</v>
      </c>
      <c r="AB48" s="89">
        <f>IF($I48=BasisDaten!$A$65,1,0)</f>
        <v>0</v>
      </c>
      <c r="AC48" s="89">
        <f t="shared" si="10"/>
        <v>0.7</v>
      </c>
      <c r="AD48" s="88">
        <f t="shared" si="11"/>
        <v>1</v>
      </c>
      <c r="AE48" s="88">
        <f t="shared" si="12"/>
        <v>2</v>
      </c>
      <c r="AF48" s="88">
        <f t="shared" si="13"/>
        <v>2</v>
      </c>
      <c r="AG48" s="89">
        <f t="shared" si="14"/>
        <v>15</v>
      </c>
      <c r="AH48" s="89">
        <f t="shared" si="15"/>
        <v>22</v>
      </c>
      <c r="AI48" s="89">
        <f t="shared" si="16"/>
        <v>16</v>
      </c>
      <c r="AJ48" s="21">
        <f t="shared" si="17"/>
        <v>53</v>
      </c>
      <c r="AK48" s="21">
        <f t="shared" si="18"/>
        <v>37.099999999999994</v>
      </c>
    </row>
    <row r="49" spans="1:37" x14ac:dyDescent="0.25">
      <c r="A49" s="23" t="s">
        <v>107</v>
      </c>
      <c r="B49" s="24"/>
      <c r="C49" s="24"/>
      <c r="D49" s="25"/>
      <c r="E49" s="26"/>
      <c r="F49" s="26"/>
      <c r="G49" s="26"/>
      <c r="H49" s="26"/>
      <c r="I49" s="26"/>
      <c r="J49" s="87">
        <f t="shared" si="19"/>
        <v>0</v>
      </c>
      <c r="K49" s="88">
        <f>IF($B$10=BasisDaten!$A$74,1,0)</f>
        <v>0</v>
      </c>
      <c r="L49" s="88">
        <f>IF($B$10=BasisDaten!$A$75,1,0)</f>
        <v>0</v>
      </c>
      <c r="M49" s="88">
        <f>IF($B$10=BasisDaten!$A$76,1,0)</f>
        <v>1</v>
      </c>
      <c r="N49" s="89">
        <f>IF($E49=BasisDaten!$A$49,1,0)</f>
        <v>0</v>
      </c>
      <c r="O49" s="89">
        <f>IF($E49=BasisDaten!$A$50,1,0)</f>
        <v>0</v>
      </c>
      <c r="P49" s="89">
        <f>IF($E49=BasisDaten!$A$51,1,0)</f>
        <v>0</v>
      </c>
      <c r="Q49" s="88">
        <f>IF($F49=BasisDaten!$A$53,1,0)</f>
        <v>0</v>
      </c>
      <c r="R49" s="88">
        <f>IF($F49=BasisDaten!$A$54,1,0)</f>
        <v>0</v>
      </c>
      <c r="S49" s="88">
        <f>IF($F49=BasisDaten!$A$55,1,0)</f>
        <v>0</v>
      </c>
      <c r="T49" s="89">
        <f>IF($G49=BasisDaten!$A$56,1,0)</f>
        <v>0</v>
      </c>
      <c r="U49" s="89">
        <f>IF($G49=BasisDaten!$A$57,1,0)</f>
        <v>0</v>
      </c>
      <c r="V49" s="89">
        <f>IF($G49=BasisDaten!$A$58,1,0)</f>
        <v>0</v>
      </c>
      <c r="W49" s="88">
        <f>IF($H49=BasisDaten!$A$60,1,0)</f>
        <v>0</v>
      </c>
      <c r="X49" s="88">
        <f>IF($H49=BasisDaten!$A$61,1,0)</f>
        <v>0</v>
      </c>
      <c r="Y49" s="88">
        <f>IF($H49=BasisDaten!$A$62,1,0)</f>
        <v>0</v>
      </c>
      <c r="Z49" s="89">
        <f>IF($I49=BasisDaten!$A$63,1,0)</f>
        <v>0</v>
      </c>
      <c r="AA49" s="89">
        <f>IF($I49=BasisDaten!$A$64,1,0)</f>
        <v>0</v>
      </c>
      <c r="AB49" s="89">
        <f>IF($I49=BasisDaten!$A$65,1,0)</f>
        <v>0</v>
      </c>
      <c r="AC49" s="89">
        <f t="shared" si="7"/>
        <v>0.7</v>
      </c>
      <c r="AD49" s="88">
        <f t="shared" si="1"/>
        <v>1</v>
      </c>
      <c r="AE49" s="88">
        <f t="shared" si="2"/>
        <v>2</v>
      </c>
      <c r="AF49" s="88">
        <f t="shared" si="3"/>
        <v>2</v>
      </c>
      <c r="AG49" s="89">
        <f t="shared" si="4"/>
        <v>15</v>
      </c>
      <c r="AH49" s="89">
        <f t="shared" si="5"/>
        <v>22</v>
      </c>
      <c r="AI49" s="89">
        <f t="shared" si="6"/>
        <v>16</v>
      </c>
      <c r="AJ49" s="21">
        <f t="shared" si="8"/>
        <v>53</v>
      </c>
      <c r="AK49" s="21">
        <f t="shared" si="9"/>
        <v>37.099999999999994</v>
      </c>
    </row>
    <row r="50" spans="1:37" x14ac:dyDescent="0.25">
      <c r="A50" s="23" t="s">
        <v>147</v>
      </c>
      <c r="B50" s="24"/>
      <c r="C50" s="24"/>
      <c r="D50" s="25"/>
      <c r="E50" s="26"/>
      <c r="F50" s="26"/>
      <c r="G50" s="26"/>
      <c r="H50" s="26"/>
      <c r="I50" s="26"/>
      <c r="J50" s="87">
        <f t="shared" si="19"/>
        <v>0</v>
      </c>
      <c r="K50" s="88">
        <f>IF($B$10=BasisDaten!$A$74,1,0)</f>
        <v>0</v>
      </c>
      <c r="L50" s="88">
        <f>IF($B$10=BasisDaten!$A$75,1,0)</f>
        <v>0</v>
      </c>
      <c r="M50" s="88">
        <f>IF($B$10=BasisDaten!$A$76,1,0)</f>
        <v>1</v>
      </c>
      <c r="N50" s="89">
        <f>IF($E50=BasisDaten!$A$49,1,0)</f>
        <v>0</v>
      </c>
      <c r="O50" s="89">
        <f>IF($E50=BasisDaten!$A$50,1,0)</f>
        <v>0</v>
      </c>
      <c r="P50" s="89">
        <f>IF($E50=BasisDaten!$A$51,1,0)</f>
        <v>0</v>
      </c>
      <c r="Q50" s="88">
        <f>IF($F50=BasisDaten!$A$53,1,0)</f>
        <v>0</v>
      </c>
      <c r="R50" s="88">
        <f>IF($F50=BasisDaten!$A$54,1,0)</f>
        <v>0</v>
      </c>
      <c r="S50" s="88">
        <f>IF($F50=BasisDaten!$A$55,1,0)</f>
        <v>0</v>
      </c>
      <c r="T50" s="89">
        <f>IF($G50=BasisDaten!$A$56,1,0)</f>
        <v>0</v>
      </c>
      <c r="U50" s="89">
        <f>IF($G50=BasisDaten!$A$57,1,0)</f>
        <v>0</v>
      </c>
      <c r="V50" s="89">
        <f>IF($G50=BasisDaten!$A$58,1,0)</f>
        <v>0</v>
      </c>
      <c r="W50" s="88">
        <f>IF($H50=BasisDaten!$A$60,1,0)</f>
        <v>0</v>
      </c>
      <c r="X50" s="88">
        <f>IF($H50=BasisDaten!$A$61,1,0)</f>
        <v>0</v>
      </c>
      <c r="Y50" s="88">
        <f>IF($H50=BasisDaten!$A$62,1,0)</f>
        <v>0</v>
      </c>
      <c r="Z50" s="89">
        <f>IF($I50=BasisDaten!$A$63,1,0)</f>
        <v>0</v>
      </c>
      <c r="AA50" s="89">
        <f>IF($I50=BasisDaten!$A$64,1,0)</f>
        <v>0</v>
      </c>
      <c r="AB50" s="89">
        <f>IF($I50=BasisDaten!$A$65,1,0)</f>
        <v>0</v>
      </c>
      <c r="AC50" s="89">
        <f t="shared" si="7"/>
        <v>0.7</v>
      </c>
      <c r="AD50" s="88">
        <f t="shared" si="1"/>
        <v>1</v>
      </c>
      <c r="AE50" s="88">
        <f t="shared" si="2"/>
        <v>2</v>
      </c>
      <c r="AF50" s="88">
        <f t="shared" si="3"/>
        <v>2</v>
      </c>
      <c r="AG50" s="89">
        <f t="shared" si="4"/>
        <v>15</v>
      </c>
      <c r="AH50" s="89">
        <f t="shared" si="5"/>
        <v>22</v>
      </c>
      <c r="AI50" s="89">
        <f t="shared" si="6"/>
        <v>16</v>
      </c>
      <c r="AJ50" s="21">
        <f t="shared" ref="AJ50:AJ64" si="20">SUM(AG50:AI50)</f>
        <v>53</v>
      </c>
      <c r="AK50" s="21">
        <f t="shared" si="9"/>
        <v>37.099999999999994</v>
      </c>
    </row>
    <row r="51" spans="1:37" x14ac:dyDescent="0.25">
      <c r="A51" s="23" t="s">
        <v>148</v>
      </c>
      <c r="B51" s="24"/>
      <c r="C51" s="24"/>
      <c r="D51" s="25"/>
      <c r="E51" s="26"/>
      <c r="F51" s="26"/>
      <c r="G51" s="26"/>
      <c r="H51" s="26"/>
      <c r="I51" s="26"/>
      <c r="J51" s="87">
        <f t="shared" si="19"/>
        <v>0</v>
      </c>
      <c r="K51" s="88">
        <f>IF($B$10=BasisDaten!$A$74,1,0)</f>
        <v>0</v>
      </c>
      <c r="L51" s="88">
        <f>IF($B$10=BasisDaten!$A$75,1,0)</f>
        <v>0</v>
      </c>
      <c r="M51" s="88">
        <f>IF($B$10=BasisDaten!$A$76,1,0)</f>
        <v>1</v>
      </c>
      <c r="N51" s="89">
        <f>IF($E51=BasisDaten!$A$49,1,0)</f>
        <v>0</v>
      </c>
      <c r="O51" s="89">
        <f>IF($E51=BasisDaten!$A$50,1,0)</f>
        <v>0</v>
      </c>
      <c r="P51" s="89">
        <f>IF($E51=BasisDaten!$A$51,1,0)</f>
        <v>0</v>
      </c>
      <c r="Q51" s="88">
        <f>IF($F51=BasisDaten!$A$53,1,0)</f>
        <v>0</v>
      </c>
      <c r="R51" s="88">
        <f>IF($F51=BasisDaten!$A$54,1,0)</f>
        <v>0</v>
      </c>
      <c r="S51" s="88">
        <f>IF($F51=BasisDaten!$A$55,1,0)</f>
        <v>0</v>
      </c>
      <c r="T51" s="89">
        <f>IF($G51=BasisDaten!$A$56,1,0)</f>
        <v>0</v>
      </c>
      <c r="U51" s="89">
        <f>IF($G51=BasisDaten!$A$57,1,0)</f>
        <v>0</v>
      </c>
      <c r="V51" s="89">
        <f>IF($G51=BasisDaten!$A$58,1,0)</f>
        <v>0</v>
      </c>
      <c r="W51" s="88">
        <f>IF($H51=BasisDaten!$A$60,1,0)</f>
        <v>0</v>
      </c>
      <c r="X51" s="88">
        <f>IF($H51=BasisDaten!$A$61,1,0)</f>
        <v>0</v>
      </c>
      <c r="Y51" s="88">
        <f>IF($H51=BasisDaten!$A$62,1,0)</f>
        <v>0</v>
      </c>
      <c r="Z51" s="89">
        <f>IF($I51=BasisDaten!$A$63,1,0)</f>
        <v>0</v>
      </c>
      <c r="AA51" s="89">
        <f>IF($I51=BasisDaten!$A$64,1,0)</f>
        <v>0</v>
      </c>
      <c r="AB51" s="89">
        <f>IF($I51=BasisDaten!$A$65,1,0)</f>
        <v>0</v>
      </c>
      <c r="AC51" s="89">
        <f t="shared" si="7"/>
        <v>0.7</v>
      </c>
      <c r="AD51" s="88">
        <f t="shared" si="1"/>
        <v>1</v>
      </c>
      <c r="AE51" s="88">
        <f t="shared" si="2"/>
        <v>2</v>
      </c>
      <c r="AF51" s="88">
        <f t="shared" si="3"/>
        <v>2</v>
      </c>
      <c r="AG51" s="89">
        <f t="shared" si="4"/>
        <v>15</v>
      </c>
      <c r="AH51" s="89">
        <f t="shared" si="5"/>
        <v>22</v>
      </c>
      <c r="AI51" s="89">
        <f t="shared" si="6"/>
        <v>16</v>
      </c>
      <c r="AJ51" s="21">
        <f t="shared" si="20"/>
        <v>53</v>
      </c>
      <c r="AK51" s="21">
        <f t="shared" si="9"/>
        <v>37.099999999999994</v>
      </c>
    </row>
    <row r="52" spans="1:37" x14ac:dyDescent="0.25">
      <c r="A52" s="23" t="s">
        <v>149</v>
      </c>
      <c r="B52" s="24"/>
      <c r="C52" s="24"/>
      <c r="D52" s="25"/>
      <c r="E52" s="26"/>
      <c r="F52" s="26"/>
      <c r="G52" s="26"/>
      <c r="H52" s="26"/>
      <c r="I52" s="26"/>
      <c r="J52" s="87">
        <f t="shared" si="19"/>
        <v>0</v>
      </c>
      <c r="K52" s="88">
        <f>IF($B$10=BasisDaten!$A$74,1,0)</f>
        <v>0</v>
      </c>
      <c r="L52" s="88">
        <f>IF($B$10=BasisDaten!$A$75,1,0)</f>
        <v>0</v>
      </c>
      <c r="M52" s="88">
        <f>IF($B$10=BasisDaten!$A$76,1,0)</f>
        <v>1</v>
      </c>
      <c r="N52" s="89">
        <f>IF($E52=BasisDaten!$A$49,1,0)</f>
        <v>0</v>
      </c>
      <c r="O52" s="89">
        <f>IF($E52=BasisDaten!$A$50,1,0)</f>
        <v>0</v>
      </c>
      <c r="P52" s="89">
        <f>IF($E52=BasisDaten!$A$51,1,0)</f>
        <v>0</v>
      </c>
      <c r="Q52" s="88">
        <f>IF($F52=BasisDaten!$A$53,1,0)</f>
        <v>0</v>
      </c>
      <c r="R52" s="88">
        <f>IF($F52=BasisDaten!$A$54,1,0)</f>
        <v>0</v>
      </c>
      <c r="S52" s="88">
        <f>IF($F52=BasisDaten!$A$55,1,0)</f>
        <v>0</v>
      </c>
      <c r="T52" s="89">
        <f>IF($G52=BasisDaten!$A$56,1,0)</f>
        <v>0</v>
      </c>
      <c r="U52" s="89">
        <f>IF($G52=BasisDaten!$A$57,1,0)</f>
        <v>0</v>
      </c>
      <c r="V52" s="89">
        <f>IF($G52=BasisDaten!$A$58,1,0)</f>
        <v>0</v>
      </c>
      <c r="W52" s="88">
        <f>IF($H52=BasisDaten!$A$60,1,0)</f>
        <v>0</v>
      </c>
      <c r="X52" s="88">
        <f>IF($H52=BasisDaten!$A$61,1,0)</f>
        <v>0</v>
      </c>
      <c r="Y52" s="88">
        <f>IF($H52=BasisDaten!$A$62,1,0)</f>
        <v>0</v>
      </c>
      <c r="Z52" s="89">
        <f>IF($I52=BasisDaten!$A$63,1,0)</f>
        <v>0</v>
      </c>
      <c r="AA52" s="89">
        <f>IF($I52=BasisDaten!$A$64,1,0)</f>
        <v>0</v>
      </c>
      <c r="AB52" s="89">
        <f>IF($I52=BasisDaten!$A$65,1,0)</f>
        <v>0</v>
      </c>
      <c r="AC52" s="89">
        <f t="shared" si="7"/>
        <v>0.7</v>
      </c>
      <c r="AD52" s="88">
        <f t="shared" si="1"/>
        <v>1</v>
      </c>
      <c r="AE52" s="88">
        <f t="shared" si="2"/>
        <v>2</v>
      </c>
      <c r="AF52" s="88">
        <f t="shared" si="3"/>
        <v>2</v>
      </c>
      <c r="AG52" s="89">
        <f t="shared" si="4"/>
        <v>15</v>
      </c>
      <c r="AH52" s="89">
        <f t="shared" si="5"/>
        <v>22</v>
      </c>
      <c r="AI52" s="89">
        <f t="shared" si="6"/>
        <v>16</v>
      </c>
      <c r="AJ52" s="21">
        <f t="shared" si="20"/>
        <v>53</v>
      </c>
      <c r="AK52" s="21">
        <f t="shared" si="9"/>
        <v>37.099999999999994</v>
      </c>
    </row>
    <row r="53" spans="1:37" x14ac:dyDescent="0.25">
      <c r="A53" s="23" t="s">
        <v>150</v>
      </c>
      <c r="B53" s="24"/>
      <c r="C53" s="24"/>
      <c r="D53" s="25"/>
      <c r="E53" s="26"/>
      <c r="F53" s="26"/>
      <c r="G53" s="26"/>
      <c r="H53" s="26"/>
      <c r="I53" s="26"/>
      <c r="J53" s="87">
        <f t="shared" si="19"/>
        <v>0</v>
      </c>
      <c r="K53" s="88">
        <f>IF($B$10=BasisDaten!$A$74,1,0)</f>
        <v>0</v>
      </c>
      <c r="L53" s="88">
        <f>IF($B$10=BasisDaten!$A$75,1,0)</f>
        <v>0</v>
      </c>
      <c r="M53" s="88">
        <f>IF($B$10=BasisDaten!$A$76,1,0)</f>
        <v>1</v>
      </c>
      <c r="N53" s="89">
        <f>IF($E53=BasisDaten!$A$49,1,0)</f>
        <v>0</v>
      </c>
      <c r="O53" s="89">
        <f>IF($E53=BasisDaten!$A$50,1,0)</f>
        <v>0</v>
      </c>
      <c r="P53" s="89">
        <f>IF($E53=BasisDaten!$A$51,1,0)</f>
        <v>0</v>
      </c>
      <c r="Q53" s="88">
        <f>IF($F53=BasisDaten!$A$53,1,0)</f>
        <v>0</v>
      </c>
      <c r="R53" s="88">
        <f>IF($F53=BasisDaten!$A$54,1,0)</f>
        <v>0</v>
      </c>
      <c r="S53" s="88">
        <f>IF($F53=BasisDaten!$A$55,1,0)</f>
        <v>0</v>
      </c>
      <c r="T53" s="89">
        <f>IF($G53=BasisDaten!$A$56,1,0)</f>
        <v>0</v>
      </c>
      <c r="U53" s="89">
        <f>IF($G53=BasisDaten!$A$57,1,0)</f>
        <v>0</v>
      </c>
      <c r="V53" s="89">
        <f>IF($G53=BasisDaten!$A$58,1,0)</f>
        <v>0</v>
      </c>
      <c r="W53" s="88">
        <f>IF($H53=BasisDaten!$A$60,1,0)</f>
        <v>0</v>
      </c>
      <c r="X53" s="88">
        <f>IF($H53=BasisDaten!$A$61,1,0)</f>
        <v>0</v>
      </c>
      <c r="Y53" s="88">
        <f>IF($H53=BasisDaten!$A$62,1,0)</f>
        <v>0</v>
      </c>
      <c r="Z53" s="89">
        <f>IF($I53=BasisDaten!$A$63,1,0)</f>
        <v>0</v>
      </c>
      <c r="AA53" s="89">
        <f>IF($I53=BasisDaten!$A$64,1,0)</f>
        <v>0</v>
      </c>
      <c r="AB53" s="89">
        <f>IF($I53=BasisDaten!$A$65,1,0)</f>
        <v>0</v>
      </c>
      <c r="AC53" s="89">
        <f t="shared" si="7"/>
        <v>0.7</v>
      </c>
      <c r="AD53" s="88">
        <f t="shared" si="1"/>
        <v>1</v>
      </c>
      <c r="AE53" s="88">
        <f t="shared" si="2"/>
        <v>2</v>
      </c>
      <c r="AF53" s="88">
        <f t="shared" si="3"/>
        <v>2</v>
      </c>
      <c r="AG53" s="89">
        <f t="shared" si="4"/>
        <v>15</v>
      </c>
      <c r="AH53" s="89">
        <f t="shared" si="5"/>
        <v>22</v>
      </c>
      <c r="AI53" s="89">
        <f t="shared" si="6"/>
        <v>16</v>
      </c>
      <c r="AJ53" s="21">
        <f t="shared" si="20"/>
        <v>53</v>
      </c>
      <c r="AK53" s="21">
        <f t="shared" si="9"/>
        <v>37.099999999999994</v>
      </c>
    </row>
    <row r="54" spans="1:37" x14ac:dyDescent="0.25">
      <c r="A54" s="23" t="s">
        <v>151</v>
      </c>
      <c r="B54" s="24"/>
      <c r="C54" s="24"/>
      <c r="D54" s="25"/>
      <c r="E54" s="26"/>
      <c r="F54" s="26"/>
      <c r="G54" s="26"/>
      <c r="H54" s="26"/>
      <c r="I54" s="26"/>
      <c r="J54" s="87">
        <f t="shared" si="19"/>
        <v>0</v>
      </c>
      <c r="K54" s="88">
        <f>IF($B$10=BasisDaten!$A$74,1,0)</f>
        <v>0</v>
      </c>
      <c r="L54" s="88">
        <f>IF($B$10=BasisDaten!$A$75,1,0)</f>
        <v>0</v>
      </c>
      <c r="M54" s="88">
        <f>IF($B$10=BasisDaten!$A$76,1,0)</f>
        <v>1</v>
      </c>
      <c r="N54" s="89">
        <f>IF($E54=BasisDaten!$A$49,1,0)</f>
        <v>0</v>
      </c>
      <c r="O54" s="89">
        <f>IF($E54=BasisDaten!$A$50,1,0)</f>
        <v>0</v>
      </c>
      <c r="P54" s="89">
        <f>IF($E54=BasisDaten!$A$51,1,0)</f>
        <v>0</v>
      </c>
      <c r="Q54" s="88">
        <f>IF($F54=BasisDaten!$A$53,1,0)</f>
        <v>0</v>
      </c>
      <c r="R54" s="88">
        <f>IF($F54=BasisDaten!$A$54,1,0)</f>
        <v>0</v>
      </c>
      <c r="S54" s="88">
        <f>IF($F54=BasisDaten!$A$55,1,0)</f>
        <v>0</v>
      </c>
      <c r="T54" s="89">
        <f>IF($G54=BasisDaten!$A$56,1,0)</f>
        <v>0</v>
      </c>
      <c r="U54" s="89">
        <f>IF($G54=BasisDaten!$A$57,1,0)</f>
        <v>0</v>
      </c>
      <c r="V54" s="89">
        <f>IF($G54=BasisDaten!$A$58,1,0)</f>
        <v>0</v>
      </c>
      <c r="W54" s="88">
        <f>IF($H54=BasisDaten!$A$60,1,0)</f>
        <v>0</v>
      </c>
      <c r="X54" s="88">
        <f>IF($H54=BasisDaten!$A$61,1,0)</f>
        <v>0</v>
      </c>
      <c r="Y54" s="88">
        <f>IF($H54=BasisDaten!$A$62,1,0)</f>
        <v>0</v>
      </c>
      <c r="Z54" s="89">
        <f>IF($I54=BasisDaten!$A$63,1,0)</f>
        <v>0</v>
      </c>
      <c r="AA54" s="89">
        <f>IF($I54=BasisDaten!$A$64,1,0)</f>
        <v>0</v>
      </c>
      <c r="AB54" s="89">
        <f>IF($I54=BasisDaten!$A$65,1,0)</f>
        <v>0</v>
      </c>
      <c r="AC54" s="89">
        <f t="shared" si="7"/>
        <v>0.7</v>
      </c>
      <c r="AD54" s="88">
        <f t="shared" si="1"/>
        <v>1</v>
      </c>
      <c r="AE54" s="88">
        <f t="shared" si="2"/>
        <v>2</v>
      </c>
      <c r="AF54" s="88">
        <f t="shared" si="3"/>
        <v>2</v>
      </c>
      <c r="AG54" s="89">
        <f t="shared" si="4"/>
        <v>15</v>
      </c>
      <c r="AH54" s="89">
        <f t="shared" si="5"/>
        <v>22</v>
      </c>
      <c r="AI54" s="89">
        <f t="shared" si="6"/>
        <v>16</v>
      </c>
      <c r="AJ54" s="21">
        <f t="shared" si="20"/>
        <v>53</v>
      </c>
      <c r="AK54" s="21">
        <f t="shared" si="9"/>
        <v>37.099999999999994</v>
      </c>
    </row>
    <row r="55" spans="1:37" x14ac:dyDescent="0.25">
      <c r="A55" s="23" t="s">
        <v>152</v>
      </c>
      <c r="B55" s="24"/>
      <c r="C55" s="24"/>
      <c r="D55" s="25"/>
      <c r="E55" s="26"/>
      <c r="F55" s="26"/>
      <c r="G55" s="26"/>
      <c r="H55" s="26"/>
      <c r="I55" s="26"/>
      <c r="J55" s="87">
        <f t="shared" si="19"/>
        <v>0</v>
      </c>
      <c r="K55" s="88">
        <f>IF($B$10=BasisDaten!$A$74,1,0)</f>
        <v>0</v>
      </c>
      <c r="L55" s="88">
        <f>IF($B$10=BasisDaten!$A$75,1,0)</f>
        <v>0</v>
      </c>
      <c r="M55" s="88">
        <f>IF($B$10=BasisDaten!$A$76,1,0)</f>
        <v>1</v>
      </c>
      <c r="N55" s="89">
        <f>IF($E55=BasisDaten!$A$49,1,0)</f>
        <v>0</v>
      </c>
      <c r="O55" s="89">
        <f>IF($E55=BasisDaten!$A$50,1,0)</f>
        <v>0</v>
      </c>
      <c r="P55" s="89">
        <f>IF($E55=BasisDaten!$A$51,1,0)</f>
        <v>0</v>
      </c>
      <c r="Q55" s="88">
        <f>IF($F55=BasisDaten!$A$53,1,0)</f>
        <v>0</v>
      </c>
      <c r="R55" s="88">
        <f>IF($F55=BasisDaten!$A$54,1,0)</f>
        <v>0</v>
      </c>
      <c r="S55" s="88">
        <f>IF($F55=BasisDaten!$A$55,1,0)</f>
        <v>0</v>
      </c>
      <c r="T55" s="89">
        <f>IF($G55=BasisDaten!$A$56,1,0)</f>
        <v>0</v>
      </c>
      <c r="U55" s="89">
        <f>IF($G55=BasisDaten!$A$57,1,0)</f>
        <v>0</v>
      </c>
      <c r="V55" s="89">
        <f>IF($G55=BasisDaten!$A$58,1,0)</f>
        <v>0</v>
      </c>
      <c r="W55" s="88">
        <f>IF($H55=BasisDaten!$A$60,1,0)</f>
        <v>0</v>
      </c>
      <c r="X55" s="88">
        <f>IF($H55=BasisDaten!$A$61,1,0)</f>
        <v>0</v>
      </c>
      <c r="Y55" s="88">
        <f>IF($H55=BasisDaten!$A$62,1,0)</f>
        <v>0</v>
      </c>
      <c r="Z55" s="89">
        <f>IF($I55=BasisDaten!$A$63,1,0)</f>
        <v>0</v>
      </c>
      <c r="AA55" s="89">
        <f>IF($I55=BasisDaten!$A$64,1,0)</f>
        <v>0</v>
      </c>
      <c r="AB55" s="89">
        <f>IF($I55=BasisDaten!$A$65,1,0)</f>
        <v>0</v>
      </c>
      <c r="AC55" s="89">
        <f t="shared" si="7"/>
        <v>0.7</v>
      </c>
      <c r="AD55" s="88">
        <f t="shared" si="1"/>
        <v>1</v>
      </c>
      <c r="AE55" s="88">
        <f t="shared" si="2"/>
        <v>2</v>
      </c>
      <c r="AF55" s="88">
        <f t="shared" si="3"/>
        <v>2</v>
      </c>
      <c r="AG55" s="89">
        <f t="shared" si="4"/>
        <v>15</v>
      </c>
      <c r="AH55" s="89">
        <f t="shared" si="5"/>
        <v>22</v>
      </c>
      <c r="AI55" s="89">
        <f t="shared" si="6"/>
        <v>16</v>
      </c>
      <c r="AJ55" s="21">
        <f t="shared" si="20"/>
        <v>53</v>
      </c>
      <c r="AK55" s="21">
        <f t="shared" si="9"/>
        <v>37.099999999999994</v>
      </c>
    </row>
    <row r="56" spans="1:37" x14ac:dyDescent="0.25">
      <c r="A56" s="23" t="s">
        <v>153</v>
      </c>
      <c r="B56" s="24"/>
      <c r="C56" s="24"/>
      <c r="D56" s="25"/>
      <c r="E56" s="26"/>
      <c r="F56" s="26"/>
      <c r="G56" s="26"/>
      <c r="H56" s="26"/>
      <c r="I56" s="26"/>
      <c r="J56" s="87">
        <f t="shared" si="19"/>
        <v>0</v>
      </c>
      <c r="K56" s="88">
        <f>IF($B$10=BasisDaten!$A$74,1,0)</f>
        <v>0</v>
      </c>
      <c r="L56" s="88">
        <f>IF($B$10=BasisDaten!$A$75,1,0)</f>
        <v>0</v>
      </c>
      <c r="M56" s="88">
        <f>IF($B$10=BasisDaten!$A$76,1,0)</f>
        <v>1</v>
      </c>
      <c r="N56" s="89">
        <f>IF($E56=BasisDaten!$A$49,1,0)</f>
        <v>0</v>
      </c>
      <c r="O56" s="89">
        <f>IF($E56=BasisDaten!$A$50,1,0)</f>
        <v>0</v>
      </c>
      <c r="P56" s="89">
        <f>IF($E56=BasisDaten!$A$51,1,0)</f>
        <v>0</v>
      </c>
      <c r="Q56" s="88">
        <f>IF($F56=BasisDaten!$A$53,1,0)</f>
        <v>0</v>
      </c>
      <c r="R56" s="88">
        <f>IF($F56=BasisDaten!$A$54,1,0)</f>
        <v>0</v>
      </c>
      <c r="S56" s="88">
        <f>IF($F56=BasisDaten!$A$55,1,0)</f>
        <v>0</v>
      </c>
      <c r="T56" s="89">
        <f>IF($G56=BasisDaten!$A$56,1,0)</f>
        <v>0</v>
      </c>
      <c r="U56" s="89">
        <f>IF($G56=BasisDaten!$A$57,1,0)</f>
        <v>0</v>
      </c>
      <c r="V56" s="89">
        <f>IF($G56=BasisDaten!$A$58,1,0)</f>
        <v>0</v>
      </c>
      <c r="W56" s="88">
        <f>IF($H56=BasisDaten!$A$60,1,0)</f>
        <v>0</v>
      </c>
      <c r="X56" s="88">
        <f>IF($H56=BasisDaten!$A$61,1,0)</f>
        <v>0</v>
      </c>
      <c r="Y56" s="88">
        <f>IF($H56=BasisDaten!$A$62,1,0)</f>
        <v>0</v>
      </c>
      <c r="Z56" s="89">
        <f>IF($I56=BasisDaten!$A$63,1,0)</f>
        <v>0</v>
      </c>
      <c r="AA56" s="89">
        <f>IF($I56=BasisDaten!$A$64,1,0)</f>
        <v>0</v>
      </c>
      <c r="AB56" s="89">
        <f>IF($I56=BasisDaten!$A$65,1,0)</f>
        <v>0</v>
      </c>
      <c r="AC56" s="89">
        <f t="shared" si="7"/>
        <v>0.7</v>
      </c>
      <c r="AD56" s="88">
        <f t="shared" si="1"/>
        <v>1</v>
      </c>
      <c r="AE56" s="88">
        <f t="shared" si="2"/>
        <v>2</v>
      </c>
      <c r="AF56" s="88">
        <f t="shared" si="3"/>
        <v>2</v>
      </c>
      <c r="AG56" s="89">
        <f t="shared" si="4"/>
        <v>15</v>
      </c>
      <c r="AH56" s="89">
        <f t="shared" si="5"/>
        <v>22</v>
      </c>
      <c r="AI56" s="89">
        <f t="shared" si="6"/>
        <v>16</v>
      </c>
      <c r="AJ56" s="21">
        <f t="shared" si="20"/>
        <v>53</v>
      </c>
      <c r="AK56" s="21">
        <f t="shared" si="9"/>
        <v>37.099999999999994</v>
      </c>
    </row>
    <row r="57" spans="1:37" x14ac:dyDescent="0.25">
      <c r="A57" s="23" t="s">
        <v>154</v>
      </c>
      <c r="B57" s="24"/>
      <c r="C57" s="24"/>
      <c r="D57" s="25"/>
      <c r="E57" s="26"/>
      <c r="F57" s="26"/>
      <c r="G57" s="26"/>
      <c r="H57" s="26"/>
      <c r="I57" s="26"/>
      <c r="J57" s="87">
        <f t="shared" si="19"/>
        <v>0</v>
      </c>
      <c r="K57" s="88">
        <f>IF($B$10=BasisDaten!$A$74,1,0)</f>
        <v>0</v>
      </c>
      <c r="L57" s="88">
        <f>IF($B$10=BasisDaten!$A$75,1,0)</f>
        <v>0</v>
      </c>
      <c r="M57" s="88">
        <f>IF($B$10=BasisDaten!$A$76,1,0)</f>
        <v>1</v>
      </c>
      <c r="N57" s="89">
        <f>IF($E57=BasisDaten!$A$49,1,0)</f>
        <v>0</v>
      </c>
      <c r="O57" s="89">
        <f>IF($E57=BasisDaten!$A$50,1,0)</f>
        <v>0</v>
      </c>
      <c r="P57" s="89">
        <f>IF($E57=BasisDaten!$A$51,1,0)</f>
        <v>0</v>
      </c>
      <c r="Q57" s="88">
        <f>IF($F57=BasisDaten!$A$53,1,0)</f>
        <v>0</v>
      </c>
      <c r="R57" s="88">
        <f>IF($F57=BasisDaten!$A$54,1,0)</f>
        <v>0</v>
      </c>
      <c r="S57" s="88">
        <f>IF($F57=BasisDaten!$A$55,1,0)</f>
        <v>0</v>
      </c>
      <c r="T57" s="89">
        <f>IF($G57=BasisDaten!$A$56,1,0)</f>
        <v>0</v>
      </c>
      <c r="U57" s="89">
        <f>IF($G57=BasisDaten!$A$57,1,0)</f>
        <v>0</v>
      </c>
      <c r="V57" s="89">
        <f>IF($G57=BasisDaten!$A$58,1,0)</f>
        <v>0</v>
      </c>
      <c r="W57" s="88">
        <f>IF($H57=BasisDaten!$A$60,1,0)</f>
        <v>0</v>
      </c>
      <c r="X57" s="88">
        <f>IF($H57=BasisDaten!$A$61,1,0)</f>
        <v>0</v>
      </c>
      <c r="Y57" s="88">
        <f>IF($H57=BasisDaten!$A$62,1,0)</f>
        <v>0</v>
      </c>
      <c r="Z57" s="89">
        <f>IF($I57=BasisDaten!$A$63,1,0)</f>
        <v>0</v>
      </c>
      <c r="AA57" s="89">
        <f>IF($I57=BasisDaten!$A$64,1,0)</f>
        <v>0</v>
      </c>
      <c r="AB57" s="89">
        <f>IF($I57=BasisDaten!$A$65,1,0)</f>
        <v>0</v>
      </c>
      <c r="AC57" s="89">
        <f t="shared" si="7"/>
        <v>0.7</v>
      </c>
      <c r="AD57" s="88">
        <f t="shared" si="1"/>
        <v>1</v>
      </c>
      <c r="AE57" s="88">
        <f t="shared" si="2"/>
        <v>2</v>
      </c>
      <c r="AF57" s="88">
        <f t="shared" si="3"/>
        <v>2</v>
      </c>
      <c r="AG57" s="89">
        <f t="shared" si="4"/>
        <v>15</v>
      </c>
      <c r="AH57" s="89">
        <f t="shared" si="5"/>
        <v>22</v>
      </c>
      <c r="AI57" s="89">
        <f t="shared" si="6"/>
        <v>16</v>
      </c>
      <c r="AJ57" s="21">
        <f t="shared" si="20"/>
        <v>53</v>
      </c>
      <c r="AK57" s="21">
        <f t="shared" si="9"/>
        <v>37.099999999999994</v>
      </c>
    </row>
    <row r="58" spans="1:37" x14ac:dyDescent="0.25">
      <c r="A58" s="23" t="s">
        <v>155</v>
      </c>
      <c r="B58" s="24"/>
      <c r="C58" s="24"/>
      <c r="D58" s="25"/>
      <c r="E58" s="26"/>
      <c r="F58" s="26"/>
      <c r="G58" s="26"/>
      <c r="H58" s="26"/>
      <c r="I58" s="26"/>
      <c r="J58" s="87">
        <f t="shared" si="19"/>
        <v>0</v>
      </c>
      <c r="K58" s="88">
        <f>IF($B$10=BasisDaten!$A$74,1,0)</f>
        <v>0</v>
      </c>
      <c r="L58" s="88">
        <f>IF($B$10=BasisDaten!$A$75,1,0)</f>
        <v>0</v>
      </c>
      <c r="M58" s="88">
        <f>IF($B$10=BasisDaten!$A$76,1,0)</f>
        <v>1</v>
      </c>
      <c r="N58" s="89">
        <f>IF($E58=BasisDaten!$A$49,1,0)</f>
        <v>0</v>
      </c>
      <c r="O58" s="89">
        <f>IF($E58=BasisDaten!$A$50,1,0)</f>
        <v>0</v>
      </c>
      <c r="P58" s="89">
        <f>IF($E58=BasisDaten!$A$51,1,0)</f>
        <v>0</v>
      </c>
      <c r="Q58" s="88">
        <f>IF($F58=BasisDaten!$A$53,1,0)</f>
        <v>0</v>
      </c>
      <c r="R58" s="88">
        <f>IF($F58=BasisDaten!$A$54,1,0)</f>
        <v>0</v>
      </c>
      <c r="S58" s="88">
        <f>IF($F58=BasisDaten!$A$55,1,0)</f>
        <v>0</v>
      </c>
      <c r="T58" s="89">
        <f>IF($G58=BasisDaten!$A$56,1,0)</f>
        <v>0</v>
      </c>
      <c r="U58" s="89">
        <f>IF($G58=BasisDaten!$A$57,1,0)</f>
        <v>0</v>
      </c>
      <c r="V58" s="89">
        <f>IF($G58=BasisDaten!$A$58,1,0)</f>
        <v>0</v>
      </c>
      <c r="W58" s="88">
        <f>IF($H58=BasisDaten!$A$60,1,0)</f>
        <v>0</v>
      </c>
      <c r="X58" s="88">
        <f>IF($H58=BasisDaten!$A$61,1,0)</f>
        <v>0</v>
      </c>
      <c r="Y58" s="88">
        <f>IF($H58=BasisDaten!$A$62,1,0)</f>
        <v>0</v>
      </c>
      <c r="Z58" s="89">
        <f>IF($I58=BasisDaten!$A$63,1,0)</f>
        <v>0</v>
      </c>
      <c r="AA58" s="89">
        <f>IF($I58=BasisDaten!$A$64,1,0)</f>
        <v>0</v>
      </c>
      <c r="AB58" s="89">
        <f>IF($I58=BasisDaten!$A$65,1,0)</f>
        <v>0</v>
      </c>
      <c r="AC58" s="89">
        <f t="shared" si="7"/>
        <v>0.7</v>
      </c>
      <c r="AD58" s="88">
        <f t="shared" si="1"/>
        <v>1</v>
      </c>
      <c r="AE58" s="88">
        <f t="shared" si="2"/>
        <v>2</v>
      </c>
      <c r="AF58" s="88">
        <f t="shared" si="3"/>
        <v>2</v>
      </c>
      <c r="AG58" s="89">
        <f t="shared" si="4"/>
        <v>15</v>
      </c>
      <c r="AH58" s="89">
        <f t="shared" si="5"/>
        <v>22</v>
      </c>
      <c r="AI58" s="89">
        <f t="shared" si="6"/>
        <v>16</v>
      </c>
      <c r="AJ58" s="21">
        <f t="shared" si="20"/>
        <v>53</v>
      </c>
      <c r="AK58" s="21">
        <f t="shared" si="9"/>
        <v>37.099999999999994</v>
      </c>
    </row>
    <row r="59" spans="1:37" x14ac:dyDescent="0.25">
      <c r="A59" s="23" t="s">
        <v>156</v>
      </c>
      <c r="B59" s="24"/>
      <c r="C59" s="24"/>
      <c r="D59" s="25"/>
      <c r="E59" s="26"/>
      <c r="F59" s="26"/>
      <c r="G59" s="26"/>
      <c r="H59" s="26"/>
      <c r="I59" s="26"/>
      <c r="J59" s="87">
        <f t="shared" si="19"/>
        <v>0</v>
      </c>
      <c r="K59" s="88">
        <f>IF($B$10=BasisDaten!$A$74,1,0)</f>
        <v>0</v>
      </c>
      <c r="L59" s="88">
        <f>IF($B$10=BasisDaten!$A$75,1,0)</f>
        <v>0</v>
      </c>
      <c r="M59" s="88">
        <f>IF($B$10=BasisDaten!$A$76,1,0)</f>
        <v>1</v>
      </c>
      <c r="N59" s="89">
        <f>IF($E59=BasisDaten!$A$49,1,0)</f>
        <v>0</v>
      </c>
      <c r="O59" s="89">
        <f>IF($E59=BasisDaten!$A$50,1,0)</f>
        <v>0</v>
      </c>
      <c r="P59" s="89">
        <f>IF($E59=BasisDaten!$A$51,1,0)</f>
        <v>0</v>
      </c>
      <c r="Q59" s="88">
        <f>IF($F59=BasisDaten!$A$53,1,0)</f>
        <v>0</v>
      </c>
      <c r="R59" s="88">
        <f>IF($F59=BasisDaten!$A$54,1,0)</f>
        <v>0</v>
      </c>
      <c r="S59" s="88">
        <f>IF($F59=BasisDaten!$A$55,1,0)</f>
        <v>0</v>
      </c>
      <c r="T59" s="89">
        <f>IF($G59=BasisDaten!$A$56,1,0)</f>
        <v>0</v>
      </c>
      <c r="U59" s="89">
        <f>IF($G59=BasisDaten!$A$57,1,0)</f>
        <v>0</v>
      </c>
      <c r="V59" s="89">
        <f>IF($G59=BasisDaten!$A$58,1,0)</f>
        <v>0</v>
      </c>
      <c r="W59" s="88">
        <f>IF($H59=BasisDaten!$A$60,1,0)</f>
        <v>0</v>
      </c>
      <c r="X59" s="88">
        <f>IF($H59=BasisDaten!$A$61,1,0)</f>
        <v>0</v>
      </c>
      <c r="Y59" s="88">
        <f>IF($H59=BasisDaten!$A$62,1,0)</f>
        <v>0</v>
      </c>
      <c r="Z59" s="89">
        <f>IF($I59=BasisDaten!$A$63,1,0)</f>
        <v>0</v>
      </c>
      <c r="AA59" s="89">
        <f>IF($I59=BasisDaten!$A$64,1,0)</f>
        <v>0</v>
      </c>
      <c r="AB59" s="89">
        <f>IF($I59=BasisDaten!$A$65,1,0)</f>
        <v>0</v>
      </c>
      <c r="AC59" s="89">
        <f t="shared" si="7"/>
        <v>0.7</v>
      </c>
      <c r="AD59" s="88">
        <f t="shared" si="1"/>
        <v>1</v>
      </c>
      <c r="AE59" s="88">
        <f t="shared" si="2"/>
        <v>2</v>
      </c>
      <c r="AF59" s="88">
        <f t="shared" si="3"/>
        <v>2</v>
      </c>
      <c r="AG59" s="89">
        <f t="shared" si="4"/>
        <v>15</v>
      </c>
      <c r="AH59" s="89">
        <f t="shared" si="5"/>
        <v>22</v>
      </c>
      <c r="AI59" s="89">
        <f t="shared" si="6"/>
        <v>16</v>
      </c>
      <c r="AJ59" s="21">
        <f t="shared" si="20"/>
        <v>53</v>
      </c>
      <c r="AK59" s="21">
        <f t="shared" si="9"/>
        <v>37.099999999999994</v>
      </c>
    </row>
    <row r="60" spans="1:37" x14ac:dyDescent="0.25">
      <c r="A60" s="23" t="s">
        <v>157</v>
      </c>
      <c r="B60" s="24"/>
      <c r="C60" s="24"/>
      <c r="D60" s="25"/>
      <c r="E60" s="26"/>
      <c r="F60" s="26"/>
      <c r="G60" s="26"/>
      <c r="H60" s="26"/>
      <c r="I60" s="26"/>
      <c r="J60" s="87">
        <f t="shared" si="19"/>
        <v>0</v>
      </c>
      <c r="K60" s="88">
        <f>IF($B$10=BasisDaten!$A$74,1,0)</f>
        <v>0</v>
      </c>
      <c r="L60" s="88">
        <f>IF($B$10=BasisDaten!$A$75,1,0)</f>
        <v>0</v>
      </c>
      <c r="M60" s="88">
        <f>IF($B$10=BasisDaten!$A$76,1,0)</f>
        <v>1</v>
      </c>
      <c r="N60" s="89">
        <f>IF($E60=BasisDaten!$A$49,1,0)</f>
        <v>0</v>
      </c>
      <c r="O60" s="89">
        <f>IF($E60=BasisDaten!$A$50,1,0)</f>
        <v>0</v>
      </c>
      <c r="P60" s="89">
        <f>IF($E60=BasisDaten!$A$51,1,0)</f>
        <v>0</v>
      </c>
      <c r="Q60" s="88">
        <f>IF($F60=BasisDaten!$A$53,1,0)</f>
        <v>0</v>
      </c>
      <c r="R60" s="88">
        <f>IF($F60=BasisDaten!$A$54,1,0)</f>
        <v>0</v>
      </c>
      <c r="S60" s="88">
        <f>IF($F60=BasisDaten!$A$55,1,0)</f>
        <v>0</v>
      </c>
      <c r="T60" s="89">
        <f>IF($G60=BasisDaten!$A$56,1,0)</f>
        <v>0</v>
      </c>
      <c r="U60" s="89">
        <f>IF($G60=BasisDaten!$A$57,1,0)</f>
        <v>0</v>
      </c>
      <c r="V60" s="89">
        <f>IF($G60=BasisDaten!$A$58,1,0)</f>
        <v>0</v>
      </c>
      <c r="W60" s="88">
        <f>IF($H60=BasisDaten!$A$60,1,0)</f>
        <v>0</v>
      </c>
      <c r="X60" s="88">
        <f>IF($H60=BasisDaten!$A$61,1,0)</f>
        <v>0</v>
      </c>
      <c r="Y60" s="88">
        <f>IF($H60=BasisDaten!$A$62,1,0)</f>
        <v>0</v>
      </c>
      <c r="Z60" s="89">
        <f>IF($I60=BasisDaten!$A$63,1,0)</f>
        <v>0</v>
      </c>
      <c r="AA60" s="89">
        <f>IF($I60=BasisDaten!$A$64,1,0)</f>
        <v>0</v>
      </c>
      <c r="AB60" s="89">
        <f>IF($I60=BasisDaten!$A$65,1,0)</f>
        <v>0</v>
      </c>
      <c r="AC60" s="89">
        <f t="shared" si="7"/>
        <v>0.7</v>
      </c>
      <c r="AD60" s="88">
        <f t="shared" si="1"/>
        <v>1</v>
      </c>
      <c r="AE60" s="88">
        <f t="shared" si="2"/>
        <v>2</v>
      </c>
      <c r="AF60" s="88">
        <f t="shared" si="3"/>
        <v>2</v>
      </c>
      <c r="AG60" s="89">
        <f t="shared" si="4"/>
        <v>15</v>
      </c>
      <c r="AH60" s="89">
        <f t="shared" si="5"/>
        <v>22</v>
      </c>
      <c r="AI60" s="89">
        <f t="shared" si="6"/>
        <v>16</v>
      </c>
      <c r="AJ60" s="21">
        <f t="shared" si="20"/>
        <v>53</v>
      </c>
      <c r="AK60" s="21">
        <f t="shared" si="9"/>
        <v>37.099999999999994</v>
      </c>
    </row>
    <row r="61" spans="1:37" x14ac:dyDescent="0.25">
      <c r="A61" s="23" t="s">
        <v>158</v>
      </c>
      <c r="B61" s="24"/>
      <c r="C61" s="24"/>
      <c r="D61" s="25"/>
      <c r="E61" s="26"/>
      <c r="F61" s="26"/>
      <c r="G61" s="26"/>
      <c r="H61" s="26"/>
      <c r="I61" s="26"/>
      <c r="J61" s="87">
        <f t="shared" si="19"/>
        <v>0</v>
      </c>
      <c r="K61" s="88">
        <f>IF($B$10=BasisDaten!$A$74,1,0)</f>
        <v>0</v>
      </c>
      <c r="L61" s="88">
        <f>IF($B$10=BasisDaten!$A$75,1,0)</f>
        <v>0</v>
      </c>
      <c r="M61" s="88">
        <f>IF($B$10=BasisDaten!$A$76,1,0)</f>
        <v>1</v>
      </c>
      <c r="N61" s="89">
        <f>IF($E61=BasisDaten!$A$49,1,0)</f>
        <v>0</v>
      </c>
      <c r="O61" s="89">
        <f>IF($E61=BasisDaten!$A$50,1,0)</f>
        <v>0</v>
      </c>
      <c r="P61" s="89">
        <f>IF($E61=BasisDaten!$A$51,1,0)</f>
        <v>0</v>
      </c>
      <c r="Q61" s="88">
        <f>IF($F61=BasisDaten!$A$53,1,0)</f>
        <v>0</v>
      </c>
      <c r="R61" s="88">
        <f>IF($F61=BasisDaten!$A$54,1,0)</f>
        <v>0</v>
      </c>
      <c r="S61" s="88">
        <f>IF($F61=BasisDaten!$A$55,1,0)</f>
        <v>0</v>
      </c>
      <c r="T61" s="89">
        <f>IF($G61=BasisDaten!$A$56,1,0)</f>
        <v>0</v>
      </c>
      <c r="U61" s="89">
        <f>IF($G61=BasisDaten!$A$57,1,0)</f>
        <v>0</v>
      </c>
      <c r="V61" s="89">
        <f>IF($G61=BasisDaten!$A$58,1,0)</f>
        <v>0</v>
      </c>
      <c r="W61" s="88">
        <f>IF($H61=BasisDaten!$A$60,1,0)</f>
        <v>0</v>
      </c>
      <c r="X61" s="88">
        <f>IF($H61=BasisDaten!$A$61,1,0)</f>
        <v>0</v>
      </c>
      <c r="Y61" s="88">
        <f>IF($H61=BasisDaten!$A$62,1,0)</f>
        <v>0</v>
      </c>
      <c r="Z61" s="89">
        <f>IF($I61=BasisDaten!$A$63,1,0)</f>
        <v>0</v>
      </c>
      <c r="AA61" s="89">
        <f>IF($I61=BasisDaten!$A$64,1,0)</f>
        <v>0</v>
      </c>
      <c r="AB61" s="89">
        <f>IF($I61=BasisDaten!$A$65,1,0)</f>
        <v>0</v>
      </c>
      <c r="AC61" s="89">
        <f t="shared" si="7"/>
        <v>0.7</v>
      </c>
      <c r="AD61" s="88">
        <f t="shared" si="1"/>
        <v>1</v>
      </c>
      <c r="AE61" s="88">
        <f t="shared" si="2"/>
        <v>2</v>
      </c>
      <c r="AF61" s="88">
        <f t="shared" si="3"/>
        <v>2</v>
      </c>
      <c r="AG61" s="89">
        <f t="shared" si="4"/>
        <v>15</v>
      </c>
      <c r="AH61" s="89">
        <f t="shared" si="5"/>
        <v>22</v>
      </c>
      <c r="AI61" s="89">
        <f t="shared" si="6"/>
        <v>16</v>
      </c>
      <c r="AJ61" s="21">
        <f t="shared" si="20"/>
        <v>53</v>
      </c>
      <c r="AK61" s="21">
        <f t="shared" si="9"/>
        <v>37.099999999999994</v>
      </c>
    </row>
    <row r="62" spans="1:37" x14ac:dyDescent="0.25">
      <c r="A62" s="23" t="s">
        <v>159</v>
      </c>
      <c r="B62" s="24"/>
      <c r="C62" s="24"/>
      <c r="D62" s="25"/>
      <c r="E62" s="26"/>
      <c r="F62" s="26"/>
      <c r="G62" s="26"/>
      <c r="H62" s="26"/>
      <c r="I62" s="26"/>
      <c r="J62" s="87">
        <f t="shared" si="19"/>
        <v>0</v>
      </c>
      <c r="K62" s="88">
        <f>IF($B$10=BasisDaten!$A$74,1,0)</f>
        <v>0</v>
      </c>
      <c r="L62" s="88">
        <f>IF($B$10=BasisDaten!$A$75,1,0)</f>
        <v>0</v>
      </c>
      <c r="M62" s="88">
        <f>IF($B$10=BasisDaten!$A$76,1,0)</f>
        <v>1</v>
      </c>
      <c r="N62" s="89">
        <f>IF($E62=BasisDaten!$A$49,1,0)</f>
        <v>0</v>
      </c>
      <c r="O62" s="89">
        <f>IF($E62=BasisDaten!$A$50,1,0)</f>
        <v>0</v>
      </c>
      <c r="P62" s="89">
        <f>IF($E62=BasisDaten!$A$51,1,0)</f>
        <v>0</v>
      </c>
      <c r="Q62" s="88">
        <f>IF($F62=BasisDaten!$A$53,1,0)</f>
        <v>0</v>
      </c>
      <c r="R62" s="88">
        <f>IF($F62=BasisDaten!$A$54,1,0)</f>
        <v>0</v>
      </c>
      <c r="S62" s="88">
        <f>IF($F62=BasisDaten!$A$55,1,0)</f>
        <v>0</v>
      </c>
      <c r="T62" s="89">
        <f>IF($G62=BasisDaten!$A$56,1,0)</f>
        <v>0</v>
      </c>
      <c r="U62" s="89">
        <f>IF($G62=BasisDaten!$A$57,1,0)</f>
        <v>0</v>
      </c>
      <c r="V62" s="89">
        <f>IF($G62=BasisDaten!$A$58,1,0)</f>
        <v>0</v>
      </c>
      <c r="W62" s="88">
        <f>IF($H62=BasisDaten!$A$60,1,0)</f>
        <v>0</v>
      </c>
      <c r="X62" s="88">
        <f>IF($H62=BasisDaten!$A$61,1,0)</f>
        <v>0</v>
      </c>
      <c r="Y62" s="88">
        <f>IF($H62=BasisDaten!$A$62,1,0)</f>
        <v>0</v>
      </c>
      <c r="Z62" s="89">
        <f>IF($I62=BasisDaten!$A$63,1,0)</f>
        <v>0</v>
      </c>
      <c r="AA62" s="89">
        <f>IF($I62=BasisDaten!$A$64,1,0)</f>
        <v>0</v>
      </c>
      <c r="AB62" s="89">
        <f>IF($I62=BasisDaten!$A$65,1,0)</f>
        <v>0</v>
      </c>
      <c r="AC62" s="89">
        <f t="shared" si="7"/>
        <v>0.7</v>
      </c>
      <c r="AD62" s="88">
        <f t="shared" si="1"/>
        <v>1</v>
      </c>
      <c r="AE62" s="88">
        <f t="shared" si="2"/>
        <v>2</v>
      </c>
      <c r="AF62" s="88">
        <f t="shared" si="3"/>
        <v>2</v>
      </c>
      <c r="AG62" s="89">
        <f t="shared" si="4"/>
        <v>15</v>
      </c>
      <c r="AH62" s="89">
        <f t="shared" si="5"/>
        <v>22</v>
      </c>
      <c r="AI62" s="89">
        <f t="shared" si="6"/>
        <v>16</v>
      </c>
      <c r="AJ62" s="21">
        <f t="shared" si="20"/>
        <v>53</v>
      </c>
      <c r="AK62" s="21">
        <f t="shared" si="9"/>
        <v>37.099999999999994</v>
      </c>
    </row>
    <row r="63" spans="1:37" x14ac:dyDescent="0.25">
      <c r="A63" s="23" t="s">
        <v>160</v>
      </c>
      <c r="B63" s="24"/>
      <c r="C63" s="24"/>
      <c r="D63" s="25"/>
      <c r="E63" s="26"/>
      <c r="F63" s="26"/>
      <c r="G63" s="26"/>
      <c r="H63" s="26"/>
      <c r="I63" s="26"/>
      <c r="J63" s="87">
        <f t="shared" si="19"/>
        <v>0</v>
      </c>
      <c r="K63" s="88">
        <f>IF($B$10=BasisDaten!$A$74,1,0)</f>
        <v>0</v>
      </c>
      <c r="L63" s="88">
        <f>IF($B$10=BasisDaten!$A$75,1,0)</f>
        <v>0</v>
      </c>
      <c r="M63" s="88">
        <f>IF($B$10=BasisDaten!$A$76,1,0)</f>
        <v>1</v>
      </c>
      <c r="N63" s="89">
        <f>IF($E63=BasisDaten!$A$49,1,0)</f>
        <v>0</v>
      </c>
      <c r="O63" s="89">
        <f>IF($E63=BasisDaten!$A$50,1,0)</f>
        <v>0</v>
      </c>
      <c r="P63" s="89">
        <f>IF($E63=BasisDaten!$A$51,1,0)</f>
        <v>0</v>
      </c>
      <c r="Q63" s="88">
        <f>IF($F63=BasisDaten!$A$53,1,0)</f>
        <v>0</v>
      </c>
      <c r="R63" s="88">
        <f>IF($F63=BasisDaten!$A$54,1,0)</f>
        <v>0</v>
      </c>
      <c r="S63" s="88">
        <f>IF($F63=BasisDaten!$A$55,1,0)</f>
        <v>0</v>
      </c>
      <c r="T63" s="89">
        <f>IF($G63=BasisDaten!$A$56,1,0)</f>
        <v>0</v>
      </c>
      <c r="U63" s="89">
        <f>IF($G63=BasisDaten!$A$57,1,0)</f>
        <v>0</v>
      </c>
      <c r="V63" s="89">
        <f>IF($G63=BasisDaten!$A$58,1,0)</f>
        <v>0</v>
      </c>
      <c r="W63" s="88">
        <f>IF($H63=BasisDaten!$A$60,1,0)</f>
        <v>0</v>
      </c>
      <c r="X63" s="88">
        <f>IF($H63=BasisDaten!$A$61,1,0)</f>
        <v>0</v>
      </c>
      <c r="Y63" s="88">
        <f>IF($H63=BasisDaten!$A$62,1,0)</f>
        <v>0</v>
      </c>
      <c r="Z63" s="89">
        <f>IF($I63=BasisDaten!$A$63,1,0)</f>
        <v>0</v>
      </c>
      <c r="AA63" s="89">
        <f>IF($I63=BasisDaten!$A$64,1,0)</f>
        <v>0</v>
      </c>
      <c r="AB63" s="89">
        <f>IF($I63=BasisDaten!$A$65,1,0)</f>
        <v>0</v>
      </c>
      <c r="AC63" s="89">
        <f t="shared" si="7"/>
        <v>0.7</v>
      </c>
      <c r="AD63" s="88">
        <f t="shared" si="1"/>
        <v>1</v>
      </c>
      <c r="AE63" s="88">
        <f t="shared" si="2"/>
        <v>2</v>
      </c>
      <c r="AF63" s="88">
        <f t="shared" si="3"/>
        <v>2</v>
      </c>
      <c r="AG63" s="89">
        <f t="shared" si="4"/>
        <v>15</v>
      </c>
      <c r="AH63" s="89">
        <f t="shared" si="5"/>
        <v>22</v>
      </c>
      <c r="AI63" s="89">
        <f t="shared" si="6"/>
        <v>16</v>
      </c>
      <c r="AJ63" s="21">
        <f t="shared" si="20"/>
        <v>53</v>
      </c>
      <c r="AK63" s="21">
        <f t="shared" si="9"/>
        <v>37.099999999999994</v>
      </c>
    </row>
    <row r="64" spans="1:37" x14ac:dyDescent="0.25">
      <c r="A64" s="23" t="s">
        <v>161</v>
      </c>
      <c r="B64" s="24"/>
      <c r="C64" s="24"/>
      <c r="D64" s="25"/>
      <c r="E64" s="26"/>
      <c r="F64" s="26"/>
      <c r="G64" s="26"/>
      <c r="H64" s="26"/>
      <c r="I64" s="26"/>
      <c r="J64" s="87">
        <f t="shared" si="19"/>
        <v>0</v>
      </c>
      <c r="K64" s="88">
        <f>IF($B$10=BasisDaten!$A$74,1,0)</f>
        <v>0</v>
      </c>
      <c r="L64" s="88">
        <f>IF($B$10=BasisDaten!$A$75,1,0)</f>
        <v>0</v>
      </c>
      <c r="M64" s="88">
        <f>IF($B$10=BasisDaten!$A$76,1,0)</f>
        <v>1</v>
      </c>
      <c r="N64" s="89">
        <f>IF($E64=BasisDaten!$A$49,1,0)</f>
        <v>0</v>
      </c>
      <c r="O64" s="89">
        <f>IF($E64=BasisDaten!$A$50,1,0)</f>
        <v>0</v>
      </c>
      <c r="P64" s="89">
        <f>IF($E64=BasisDaten!$A$51,1,0)</f>
        <v>0</v>
      </c>
      <c r="Q64" s="88">
        <f>IF($F64=BasisDaten!$A$53,1,0)</f>
        <v>0</v>
      </c>
      <c r="R64" s="88">
        <f>IF($F64=BasisDaten!$A$54,1,0)</f>
        <v>0</v>
      </c>
      <c r="S64" s="88">
        <f>IF($F64=BasisDaten!$A$55,1,0)</f>
        <v>0</v>
      </c>
      <c r="T64" s="89">
        <f>IF($G64=BasisDaten!$A$56,1,0)</f>
        <v>0</v>
      </c>
      <c r="U64" s="89">
        <f>IF($G64=BasisDaten!$A$57,1,0)</f>
        <v>0</v>
      </c>
      <c r="V64" s="89">
        <f>IF($G64=BasisDaten!$A$58,1,0)</f>
        <v>0</v>
      </c>
      <c r="W64" s="88">
        <f>IF($H64=BasisDaten!$A$60,1,0)</f>
        <v>0</v>
      </c>
      <c r="X64" s="88">
        <f>IF($H64=BasisDaten!$A$61,1,0)</f>
        <v>0</v>
      </c>
      <c r="Y64" s="88">
        <f>IF($H64=BasisDaten!$A$62,1,0)</f>
        <v>0</v>
      </c>
      <c r="Z64" s="89">
        <f>IF($I64=BasisDaten!$A$63,1,0)</f>
        <v>0</v>
      </c>
      <c r="AA64" s="89">
        <f>IF($I64=BasisDaten!$A$64,1,0)</f>
        <v>0</v>
      </c>
      <c r="AB64" s="89">
        <f>IF($I64=BasisDaten!$A$65,1,0)</f>
        <v>0</v>
      </c>
      <c r="AC64" s="89">
        <f t="shared" si="7"/>
        <v>0.7</v>
      </c>
      <c r="AD64" s="88">
        <f t="shared" si="1"/>
        <v>1</v>
      </c>
      <c r="AE64" s="88">
        <f t="shared" si="2"/>
        <v>2</v>
      </c>
      <c r="AF64" s="88">
        <f t="shared" si="3"/>
        <v>2</v>
      </c>
      <c r="AG64" s="89">
        <f t="shared" si="4"/>
        <v>15</v>
      </c>
      <c r="AH64" s="89">
        <f t="shared" si="5"/>
        <v>22</v>
      </c>
      <c r="AI64" s="89">
        <f t="shared" si="6"/>
        <v>16</v>
      </c>
      <c r="AJ64" s="21">
        <f t="shared" si="20"/>
        <v>53</v>
      </c>
      <c r="AK64" s="21">
        <f t="shared" si="9"/>
        <v>37.099999999999994</v>
      </c>
    </row>
    <row r="65" spans="1:10" x14ac:dyDescent="0.25">
      <c r="A65" s="90" t="s">
        <v>61</v>
      </c>
      <c r="B65" s="91"/>
      <c r="C65" s="91"/>
      <c r="D65" s="91"/>
      <c r="E65" s="91"/>
      <c r="F65" s="91"/>
      <c r="G65" s="91"/>
      <c r="H65" s="91"/>
      <c r="I65" s="92"/>
      <c r="J65" s="87">
        <f>IF(B5=BasisDaten!A34,3*B66,2*B63)/1000</f>
        <v>0</v>
      </c>
    </row>
    <row r="66" spans="1:10" x14ac:dyDescent="0.25">
      <c r="A66" s="93" t="s">
        <v>59</v>
      </c>
      <c r="B66" s="94">
        <f>SUM(B15:B64)</f>
        <v>0</v>
      </c>
      <c r="C66" s="94">
        <f>SUM(C15:C64)</f>
        <v>0</v>
      </c>
      <c r="D66" s="95">
        <f>SUM(D15:D64)</f>
        <v>0</v>
      </c>
      <c r="E66" s="93"/>
      <c r="F66" s="93"/>
      <c r="G66" s="93"/>
      <c r="H66" s="93"/>
      <c r="I66" s="93"/>
      <c r="J66" s="96">
        <f>SUM(J15:J65)</f>
        <v>0</v>
      </c>
    </row>
  </sheetData>
  <sheetProtection algorithmName="SHA-512" hashValue="jNpP4wBi3DwRW7MN6avLclyKskusn+JDMB8fAiOhkQ8NE5lnu1i7CZhH05/iZMa6GOlo3EOjVKGWiTtIbc5Eew==" saltValue="+/ZvaJBC/ET2jLmCbNtPEw==" spinCount="100000" sheet="1" objects="1" scenarios="1" selectLockedCells="1"/>
  <mergeCells count="8">
    <mergeCell ref="E11:J11"/>
    <mergeCell ref="B10:C10"/>
    <mergeCell ref="A13:A14"/>
    <mergeCell ref="B5:C5"/>
    <mergeCell ref="B6:C6"/>
    <mergeCell ref="B7:C7"/>
    <mergeCell ref="B8:C8"/>
    <mergeCell ref="B9:C9"/>
  </mergeCells>
  <phoneticPr fontId="6" type="noConversion"/>
  <conditionalFormatting sqref="D4">
    <cfRule type="expression" dxfId="4" priority="9">
      <formula>$C$4</formula>
    </cfRule>
  </conditionalFormatting>
  <conditionalFormatting sqref="D5">
    <cfRule type="expression" dxfId="3" priority="8">
      <formula>$C$4</formula>
    </cfRule>
  </conditionalFormatting>
  <conditionalFormatting sqref="J15:J65">
    <cfRule type="expression" dxfId="2" priority="5">
      <formula>#REF!="Ja"</formula>
    </cfRule>
  </conditionalFormatting>
  <pageMargins left="0.39370078740157483" right="0.39370078740157483" top="0.98425196850393704" bottom="0.59055118110236227" header="0.31496062992125984" footer="0.31496062992125984"/>
  <pageSetup paperSize="9" scale="74" fitToWidth="0" fitToHeight="0" orientation="landscape" r:id="rId1"/>
  <headerFooter>
    <oddHeader>&amp;L&amp;G&amp;R&amp;G</oddHeader>
    <oddFooter>&amp;LPowered by Argast Informatik- und Elektroengineering, Laufenburg&amp;C&amp;D : &amp;T&amp;RSeite &amp;P von  &amp;N</oddFooter>
  </headerFooter>
  <legacy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6A4AACD-E629-4013-B431-EC97202F924E}">
            <xm:f>Grunddaten!$B$25&lt;&gt;1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A15:I64</xm:sqref>
        </x14:conditionalFormatting>
        <x14:conditionalFormatting xmlns:xm="http://schemas.microsoft.com/office/excel/2006/main">
          <x14:cfRule type="expression" priority="1" id="{4B192565-4837-408E-A664-1BBC50C8231B}">
            <xm:f>Grunddaten!$B$25&lt;&gt;1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B5:C10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ErrorMessage="1" xr:uid="{6002FAE6-F0E3-4FE9-A643-455A0C709233}">
          <x14:formula1>
            <xm:f>BasisDaten!$A$53:$A$55</xm:f>
          </x14:formula1>
          <xm:sqref>F15:F65</xm:sqref>
        </x14:dataValidation>
        <x14:dataValidation type="list" allowBlank="1" showErrorMessage="1" xr:uid="{5A8977D1-EE94-44EA-9BE4-F6529D94BE80}">
          <x14:formula1>
            <xm:f>BasisDaten!$A$60:$A$62</xm:f>
          </x14:formula1>
          <xm:sqref>H15:H65</xm:sqref>
        </x14:dataValidation>
        <x14:dataValidation type="list" allowBlank="1" showErrorMessage="1" xr:uid="{7775CE96-CAC3-4DCB-959D-223E60FF53F7}">
          <x14:formula1>
            <xm:f>BasisDaten!$A$63:$A$65</xm:f>
          </x14:formula1>
          <xm:sqref>I15:I65</xm:sqref>
        </x14:dataValidation>
        <x14:dataValidation type="list" allowBlank="1" showErrorMessage="1" xr:uid="{4229508F-87F4-451F-BBAC-454D9F840333}">
          <x14:formula1>
            <xm:f>BasisDaten!$A$49:$A$52</xm:f>
          </x14:formula1>
          <xm:sqref>E15:E65</xm:sqref>
        </x14:dataValidation>
        <x14:dataValidation type="list" allowBlank="1" showInputMessage="1" showErrorMessage="1" xr:uid="{484A345D-802F-46A7-96D6-2BE794DBE293}">
          <x14:formula1>
            <xm:f>BasisDaten!$A$32:$A$35</xm:f>
          </x14:formula1>
          <xm:sqref>B5</xm:sqref>
        </x14:dataValidation>
        <x14:dataValidation type="list" allowBlank="1" showInputMessage="1" showErrorMessage="1" xr:uid="{EF68C09D-6B91-4363-BC97-D2712E8C3784}">
          <x14:formula1>
            <xm:f>BasisDaten!$A$36:$A$38</xm:f>
          </x14:formula1>
          <xm:sqref>B6</xm:sqref>
        </x14:dataValidation>
        <x14:dataValidation type="list" allowBlank="1" showInputMessage="1" showErrorMessage="1" xr:uid="{BE2E9FBB-1F1D-4136-9FF2-C1C35C04F90E}">
          <x14:formula1>
            <xm:f>BasisDaten!$A$39:$A$40</xm:f>
          </x14:formula1>
          <xm:sqref>B7</xm:sqref>
        </x14:dataValidation>
        <x14:dataValidation type="list" allowBlank="1" showInputMessage="1" showErrorMessage="1" xr:uid="{791029E1-A173-40E3-BFBB-264427F41727}">
          <x14:formula1>
            <xm:f>BasisDaten!$A$41:$A$42</xm:f>
          </x14:formula1>
          <xm:sqref>B8</xm:sqref>
        </x14:dataValidation>
        <x14:dataValidation type="list" allowBlank="1" showInputMessage="1" showErrorMessage="1" xr:uid="{E260DDF5-B2C0-4B08-9DD5-6D6331EC6C86}">
          <x14:formula1>
            <xm:f>BasisDaten!$A$43:$A$45</xm:f>
          </x14:formula1>
          <xm:sqref>B9</xm:sqref>
        </x14:dataValidation>
        <x14:dataValidation type="list" allowBlank="1" showErrorMessage="1" xr:uid="{1FB2E42B-1B36-4659-9A94-9DB61DAF7807}">
          <x14:formula1>
            <xm:f>BasisDaten!$A$56:$A$59</xm:f>
          </x14:formula1>
          <xm:sqref>G15:G65</xm:sqref>
        </x14:dataValidation>
        <x14:dataValidation type="list" allowBlank="1" showInputMessage="1" showErrorMessage="1" xr:uid="{1D5F2CB3-B706-499D-BBA1-2F3961987907}">
          <x14:formula1>
            <xm:f>BasisDaten!$A$74:$A$76</xm:f>
          </x14:formula1>
          <xm:sqref>B10:C10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948DA-9B6E-427A-9E82-E0EFCC609F7D}">
  <sheetPr codeName="Tabelle2">
    <tabColor theme="9" tint="0.79998168889431442"/>
  </sheetPr>
  <dimension ref="A1:H45"/>
  <sheetViews>
    <sheetView showGridLines="0" showRuler="0" view="pageLayout" topLeftCell="A19" zoomScaleNormal="100" workbookViewId="0">
      <selection activeCell="C12" sqref="C12"/>
    </sheetView>
  </sheetViews>
  <sheetFormatPr baseColWidth="10" defaultRowHeight="15" x14ac:dyDescent="0.25"/>
  <cols>
    <col min="1" max="1" width="35.28515625" customWidth="1"/>
    <col min="2" max="2" width="9.28515625" customWidth="1"/>
    <col min="3" max="3" width="9.140625" customWidth="1"/>
    <col min="4" max="4" width="19.5703125" customWidth="1"/>
    <col min="5" max="5" width="18.85546875" customWidth="1"/>
    <col min="6" max="8" width="11.42578125" hidden="1" customWidth="1"/>
  </cols>
  <sheetData>
    <row r="1" spans="1:8" ht="15.75" x14ac:dyDescent="0.25">
      <c r="A1" s="20" t="s">
        <v>142</v>
      </c>
      <c r="B1" s="20"/>
      <c r="C1" s="20"/>
      <c r="D1" s="20"/>
      <c r="E1" s="8" t="str">
        <f>BasisDaten!$B$1</f>
        <v>2025.06.07</v>
      </c>
    </row>
    <row r="2" spans="1:8" x14ac:dyDescent="0.25">
      <c r="A2" s="119"/>
    </row>
    <row r="4" spans="1:8" x14ac:dyDescent="0.25">
      <c r="B4" s="30"/>
      <c r="C4" s="19" t="s">
        <v>168</v>
      </c>
      <c r="D4" s="14" t="s">
        <v>173</v>
      </c>
      <c r="E4" s="19" t="s">
        <v>170</v>
      </c>
    </row>
    <row r="5" spans="1:8" x14ac:dyDescent="0.25">
      <c r="A5" s="165" t="s">
        <v>199</v>
      </c>
      <c r="B5" s="167"/>
      <c r="C5" s="22">
        <f>IF(Grunddaten!B25=1,Erfassung!J66,IF(Grunddaten!B25=2,ROUNDUP(9.8*Grunddaten!F25/BasisDaten!B27*1.05,0),IF(Grunddaten!B25=3,Grunddaten!F25,0)))</f>
        <v>0</v>
      </c>
      <c r="D5" s="202">
        <f>IF(C5=0,0,IF(C5&lt;=Preise!$B$13,Preise!$B$16,IF(C5&gt;=Preise!$B$14,Preise!$B$15,Preise!$B$16-(Preise!$B$21*(C5-Preise!$B$13)))))</f>
        <v>0</v>
      </c>
      <c r="E5" s="32">
        <f>ROUNDUP(C5*D5,1)</f>
        <v>0</v>
      </c>
    </row>
    <row r="6" spans="1:8" x14ac:dyDescent="0.25">
      <c r="A6" s="5" t="str">
        <f>Grunddaten!$B$8</f>
        <v/>
      </c>
      <c r="B6" s="33">
        <f>1-Grunddaten!E33</f>
        <v>1</v>
      </c>
      <c r="C6" s="5">
        <f>C$5*B6</f>
        <v>0</v>
      </c>
      <c r="D6" s="202"/>
      <c r="E6" s="12">
        <f>ROUNDUP(E$5*B6,1)</f>
        <v>0</v>
      </c>
    </row>
    <row r="7" spans="1:8" x14ac:dyDescent="0.25">
      <c r="A7" s="5" t="str">
        <f>Grunddaten!$B$35</f>
        <v/>
      </c>
      <c r="B7" s="33">
        <f>Grunddaten!E33</f>
        <v>0</v>
      </c>
      <c r="C7" s="5">
        <f>C$5*B7</f>
        <v>0</v>
      </c>
      <c r="D7" s="202"/>
      <c r="E7" s="12">
        <f>ROUNDUP(E$5*B7,1)</f>
        <v>0</v>
      </c>
    </row>
    <row r="8" spans="1:8" x14ac:dyDescent="0.25">
      <c r="E8" s="13"/>
    </row>
    <row r="9" spans="1:8" x14ac:dyDescent="0.25">
      <c r="B9" s="19" t="s">
        <v>137</v>
      </c>
      <c r="C9" s="19" t="s">
        <v>202</v>
      </c>
      <c r="D9" s="14" t="s">
        <v>176</v>
      </c>
      <c r="E9" s="19" t="s">
        <v>170</v>
      </c>
    </row>
    <row r="10" spans="1:8" ht="14.25" customHeight="1" x14ac:dyDescent="0.25">
      <c r="A10" s="42" t="s">
        <v>174</v>
      </c>
      <c r="B10" s="121">
        <f>BasisDaten!B27*C5/1000</f>
        <v>0</v>
      </c>
      <c r="C10" s="122">
        <f>F13+F10</f>
        <v>0</v>
      </c>
      <c r="D10" s="202">
        <f>IF(C5=0,0,IF(B10&lt;=Preise!$B$3,Preise!$B$6,IF(B10&gt;=Preise!$B$4,Preise!$B$5,Preise!$B$6-(Preise!$B$7*(B10-Preise!$B$3)))))</f>
        <v>0</v>
      </c>
      <c r="E10" s="32">
        <f>SUM(E11:E15)</f>
        <v>0</v>
      </c>
      <c r="F10">
        <f>IF(C12&gt;0,C12,IF(C11&gt;0,C11,B10*B11))</f>
        <v>0</v>
      </c>
    </row>
    <row r="11" spans="1:8" x14ac:dyDescent="0.25">
      <c r="A11" s="5" t="str">
        <f>Grunddaten!$B$8</f>
        <v/>
      </c>
      <c r="B11" s="203">
        <f>$B$6</f>
        <v>1</v>
      </c>
      <c r="C11" s="34">
        <f>SUM(G11:H11)</f>
        <v>0</v>
      </c>
      <c r="D11" s="202"/>
      <c r="E11" s="12">
        <f>IF(C12=0,ROUNDUP(C11*D10*1000,1),0)</f>
        <v>0</v>
      </c>
      <c r="F11" s="31">
        <f>IF(Grunddaten!$B$6&lt;1,Grunddaten!$E$6*0.06,0)</f>
        <v>0</v>
      </c>
      <c r="G11" s="31">
        <f>F11*B10*Grunddaten!B6*B11</f>
        <v>0</v>
      </c>
      <c r="H11">
        <f>(1-F11)*B10*Grunddaten!B6*B11</f>
        <v>0</v>
      </c>
    </row>
    <row r="12" spans="1:8" x14ac:dyDescent="0.25">
      <c r="A12" s="35" t="s">
        <v>175</v>
      </c>
      <c r="B12" s="203"/>
      <c r="C12" s="97"/>
      <c r="D12" s="202"/>
      <c r="E12" s="12">
        <f>IF(C12&gt;0,ROUNDUP(C12*D10*1000,1),0)</f>
        <v>0</v>
      </c>
      <c r="F12" s="31"/>
      <c r="G12" s="31"/>
    </row>
    <row r="13" spans="1:8" x14ac:dyDescent="0.25">
      <c r="A13" s="38"/>
      <c r="B13" s="36"/>
      <c r="C13" s="37"/>
      <c r="D13" s="202"/>
      <c r="E13" s="12"/>
      <c r="F13" s="31">
        <f>IF(C15&gt;0,C15,IF(C14&gt;0,C14,B10*B14))</f>
        <v>0</v>
      </c>
      <c r="G13" s="31"/>
    </row>
    <row r="14" spans="1:8" x14ac:dyDescent="0.25">
      <c r="A14" s="5" t="str">
        <f>Grunddaten!$B$35</f>
        <v/>
      </c>
      <c r="B14" s="203">
        <f>$B$7</f>
        <v>0</v>
      </c>
      <c r="C14" s="34">
        <f>SUM(G14:H14)</f>
        <v>0</v>
      </c>
      <c r="D14" s="202"/>
      <c r="E14" s="12">
        <f>IF(C15=0,ROUNDUP(C14*D10*1000,1),0)</f>
        <v>0</v>
      </c>
      <c r="F14" s="31">
        <f>IF(Grunddaten!$B$32&lt;1,Grunddaten!$E$32*0.06,0)</f>
        <v>0</v>
      </c>
      <c r="G14" s="31">
        <f>F14*B10*Grunddaten!B32*B14</f>
        <v>0</v>
      </c>
      <c r="H14">
        <f>(1-F14)*B10*Grunddaten!B32*B14</f>
        <v>0</v>
      </c>
    </row>
    <row r="15" spans="1:8" x14ac:dyDescent="0.25">
      <c r="A15" s="35" t="s">
        <v>175</v>
      </c>
      <c r="B15" s="203"/>
      <c r="C15" s="97"/>
      <c r="D15" s="202"/>
      <c r="E15" s="12">
        <f>IF(C15&gt;0,ROUNDUP(C15*D10*1000,1),0)</f>
        <v>0</v>
      </c>
      <c r="F15" s="31"/>
      <c r="G15" s="31"/>
    </row>
    <row r="16" spans="1:8" x14ac:dyDescent="0.25">
      <c r="A16" s="4"/>
      <c r="B16" s="43"/>
      <c r="C16" s="46"/>
      <c r="D16" s="44"/>
      <c r="E16" s="13"/>
      <c r="F16" s="31"/>
      <c r="G16" s="31"/>
    </row>
    <row r="17" spans="1:5" x14ac:dyDescent="0.25">
      <c r="E17" s="19" t="s">
        <v>170</v>
      </c>
    </row>
    <row r="18" spans="1:5" x14ac:dyDescent="0.25">
      <c r="A18" s="42" t="s">
        <v>177</v>
      </c>
      <c r="B18" s="40"/>
      <c r="C18" s="40"/>
      <c r="D18" s="41"/>
      <c r="E18" s="32">
        <f>E5+E10</f>
        <v>0</v>
      </c>
    </row>
    <row r="19" spans="1:5" x14ac:dyDescent="0.25">
      <c r="A19" s="5" t="str">
        <f>Grunddaten!$B$8</f>
        <v/>
      </c>
      <c r="B19" s="40"/>
      <c r="C19" s="40"/>
      <c r="D19" s="41"/>
      <c r="E19" s="12">
        <f>E6+E11+E12</f>
        <v>0</v>
      </c>
    </row>
    <row r="20" spans="1:5" x14ac:dyDescent="0.25">
      <c r="A20" s="5" t="str">
        <f>Grunddaten!$B$35</f>
        <v/>
      </c>
      <c r="B20" s="40"/>
      <c r="C20" s="40"/>
      <c r="D20" s="41"/>
      <c r="E20" s="12">
        <f>E7+E14+E15</f>
        <v>0</v>
      </c>
    </row>
    <row r="22" spans="1:5" x14ac:dyDescent="0.25">
      <c r="C22" s="19" t="s">
        <v>168</v>
      </c>
      <c r="D22" s="14" t="s">
        <v>178</v>
      </c>
      <c r="E22" s="19" t="s">
        <v>170</v>
      </c>
    </row>
    <row r="23" spans="1:5" x14ac:dyDescent="0.25">
      <c r="A23" s="42" t="s">
        <v>180</v>
      </c>
      <c r="B23" s="41"/>
      <c r="C23" s="6">
        <f>$C$5</f>
        <v>0</v>
      </c>
      <c r="D23" s="202">
        <f>IF(C5=0,0,IF(C23&lt;=Preise!$B$25,Preise!$B$28,IF(C23&gt;=Preise!$B$26,Preise!$B$27,Preise!$B$28-(Preise!$B$7*(C23-Preise!$B$25)))))</f>
        <v>0</v>
      </c>
      <c r="E23" s="32">
        <f>ROUNDUP(C23*D23,1)</f>
        <v>0</v>
      </c>
    </row>
    <row r="24" spans="1:5" x14ac:dyDescent="0.25">
      <c r="A24" s="5" t="str">
        <f>Grunddaten!$B$8</f>
        <v/>
      </c>
      <c r="B24" s="33">
        <f>$B$6</f>
        <v>1</v>
      </c>
      <c r="C24" s="5">
        <f>$C$6</f>
        <v>0</v>
      </c>
      <c r="D24" s="202"/>
      <c r="E24" s="12">
        <f>ROUNDUP(C24*D23,1)</f>
        <v>0</v>
      </c>
    </row>
    <row r="25" spans="1:5" x14ac:dyDescent="0.25">
      <c r="A25" s="5" t="str">
        <f>Grunddaten!$B$35</f>
        <v/>
      </c>
      <c r="B25" s="33">
        <f>$B$7</f>
        <v>0</v>
      </c>
      <c r="C25" s="5">
        <f>$C$7</f>
        <v>0</v>
      </c>
      <c r="D25" s="202"/>
      <c r="E25" s="12">
        <f>ROUNDUP(C25*D23,1)</f>
        <v>0</v>
      </c>
    </row>
    <row r="27" spans="1:5" x14ac:dyDescent="0.25">
      <c r="C27" s="19" t="s">
        <v>168</v>
      </c>
      <c r="D27" s="14" t="s">
        <v>179</v>
      </c>
      <c r="E27" s="19" t="s">
        <v>170</v>
      </c>
    </row>
    <row r="28" spans="1:5" x14ac:dyDescent="0.25">
      <c r="A28" s="42" t="s">
        <v>112</v>
      </c>
      <c r="B28" s="41"/>
      <c r="C28" s="6">
        <f>$C$5</f>
        <v>0</v>
      </c>
      <c r="D28" s="202">
        <f>IF(C28=0,0,IF(C28&lt;=Preise!A40,Preise!B40,IF(C28&lt;=Preise!A41,Preise!B41,IF(C28&lt;=Preise!A42,Preise!B42,IF(C28&lt;=Preise!A43,Preise!B43,IF(C28&lt;=Preise!A44,Preise!B44,IF(C28&lt;=Preise!A45,Preise!B45,IF(C28&lt;=Preise!A46,Preise!B46,IF(C28&lt;=Preise!A47,Preise!B47,IF(C28&lt;=Preise!A48,Preise!B48,IF(C28&lt;=Preise!A49,Preise!B49,Preise!B50)))))))))))</f>
        <v>0</v>
      </c>
      <c r="E28" s="32">
        <f>D28</f>
        <v>0</v>
      </c>
    </row>
    <row r="29" spans="1:5" x14ac:dyDescent="0.25">
      <c r="A29" s="5" t="str">
        <f>Grunddaten!$B$8</f>
        <v/>
      </c>
      <c r="B29" s="33">
        <f>$B$6</f>
        <v>1</v>
      </c>
      <c r="C29" s="5">
        <f>$C$6</f>
        <v>0</v>
      </c>
      <c r="D29" s="202"/>
      <c r="E29" s="12">
        <f>B29*D28</f>
        <v>0</v>
      </c>
    </row>
    <row r="30" spans="1:5" x14ac:dyDescent="0.25">
      <c r="A30" s="5" t="str">
        <f>Grunddaten!$B$35</f>
        <v/>
      </c>
      <c r="B30" s="33">
        <f>$B$7</f>
        <v>0</v>
      </c>
      <c r="C30" s="5">
        <f>$C$7</f>
        <v>0</v>
      </c>
      <c r="D30" s="202"/>
      <c r="E30" s="12">
        <f>B30*D28</f>
        <v>0</v>
      </c>
    </row>
    <row r="31" spans="1:5" x14ac:dyDescent="0.25">
      <c r="B31" s="49"/>
      <c r="D31" s="44"/>
      <c r="E31" s="13"/>
    </row>
    <row r="32" spans="1:5" x14ac:dyDescent="0.25">
      <c r="C32" s="19" t="s">
        <v>184</v>
      </c>
      <c r="D32" s="14" t="s">
        <v>183</v>
      </c>
      <c r="E32" s="19" t="s">
        <v>170</v>
      </c>
    </row>
    <row r="33" spans="1:5" x14ac:dyDescent="0.25">
      <c r="A33" s="42" t="s">
        <v>182</v>
      </c>
      <c r="B33" s="40"/>
      <c r="C33" s="28">
        <v>0</v>
      </c>
      <c r="D33" s="196">
        <f>IF(C33=0,0,IF(C33&lt;=Preise!$B$54,Preise!$B$57,IF(C33&gt;=Preise!$B$55,Preise!$B$56,Preise!$B$57-(Preise!$B$58*(C33-Preise!$B$54)))))</f>
        <v>0</v>
      </c>
      <c r="E33" s="32">
        <f>ROUNDUP(C33*D33,1)</f>
        <v>0</v>
      </c>
    </row>
    <row r="34" spans="1:5" x14ac:dyDescent="0.25">
      <c r="A34" s="39" t="s">
        <v>171</v>
      </c>
      <c r="B34" s="33">
        <f>$B$6</f>
        <v>1</v>
      </c>
      <c r="C34" s="40"/>
      <c r="D34" s="197"/>
      <c r="E34" s="12">
        <f>ROUNDUP(E33*B34,1)</f>
        <v>0</v>
      </c>
    </row>
    <row r="35" spans="1:5" x14ac:dyDescent="0.25">
      <c r="A35" s="39" t="s">
        <v>172</v>
      </c>
      <c r="B35" s="33">
        <f>$B$7</f>
        <v>0</v>
      </c>
      <c r="C35" s="40"/>
      <c r="D35" s="198"/>
      <c r="E35" s="12">
        <f>ROUNDUP(E33*B35,1)</f>
        <v>0</v>
      </c>
    </row>
    <row r="37" spans="1:5" x14ac:dyDescent="0.25">
      <c r="C37" s="19" t="s">
        <v>168</v>
      </c>
      <c r="E37" s="19" t="s">
        <v>170</v>
      </c>
    </row>
    <row r="38" spans="1:5" x14ac:dyDescent="0.25">
      <c r="A38" s="165" t="s">
        <v>189</v>
      </c>
      <c r="B38" s="167"/>
      <c r="C38" s="6">
        <f>$C$5</f>
        <v>0</v>
      </c>
      <c r="D38" s="199"/>
      <c r="E38" s="32">
        <f>E23+E28+E33</f>
        <v>0</v>
      </c>
    </row>
    <row r="39" spans="1:5" x14ac:dyDescent="0.25">
      <c r="A39" s="5" t="str">
        <f>Grunddaten!$B$8</f>
        <v/>
      </c>
      <c r="B39" s="33">
        <f>$B$6</f>
        <v>1</v>
      </c>
      <c r="C39" s="5">
        <f>$C$6</f>
        <v>0</v>
      </c>
      <c r="D39" s="200"/>
      <c r="E39" s="12">
        <f>E38*B39</f>
        <v>0</v>
      </c>
    </row>
    <row r="40" spans="1:5" x14ac:dyDescent="0.25">
      <c r="A40" s="5" t="str">
        <f>Grunddaten!$B$35</f>
        <v/>
      </c>
      <c r="B40" s="33">
        <f>$B$7</f>
        <v>0</v>
      </c>
      <c r="C40" s="5">
        <f>$C$7</f>
        <v>0</v>
      </c>
      <c r="D40" s="201"/>
      <c r="E40" s="12">
        <f>E38*B40</f>
        <v>0</v>
      </c>
    </row>
    <row r="42" spans="1:5" x14ac:dyDescent="0.25">
      <c r="C42" s="19" t="s">
        <v>137</v>
      </c>
      <c r="E42" s="19" t="s">
        <v>170</v>
      </c>
    </row>
    <row r="43" spans="1:5" x14ac:dyDescent="0.25">
      <c r="A43" s="42" t="s">
        <v>181</v>
      </c>
      <c r="B43" s="45"/>
      <c r="C43" s="34">
        <f>SUM(C44:C45)</f>
        <v>0</v>
      </c>
      <c r="D43" s="193"/>
      <c r="E43" s="47">
        <f>IF(C43=0,0,E18/C43/1000)</f>
        <v>0</v>
      </c>
    </row>
    <row r="44" spans="1:5" x14ac:dyDescent="0.25">
      <c r="A44" s="5" t="str">
        <f>Grunddaten!$B$8</f>
        <v/>
      </c>
      <c r="B44" s="61"/>
      <c r="C44" s="45">
        <f>IF(C12&gt;0,C12,C11)</f>
        <v>0</v>
      </c>
      <c r="D44" s="194"/>
      <c r="E44" s="48">
        <f>IF(C44=0,0,E19/C44/1000)</f>
        <v>0</v>
      </c>
    </row>
    <row r="45" spans="1:5" x14ac:dyDescent="0.25">
      <c r="A45" s="5" t="str">
        <f>Grunddaten!$B$35</f>
        <v/>
      </c>
      <c r="B45" s="61"/>
      <c r="C45" s="45">
        <f>IF(C15&gt;0,C15,C14)</f>
        <v>0</v>
      </c>
      <c r="D45" s="195"/>
      <c r="E45" s="48">
        <f>IF(C45=0,0,E20/C45/1000)</f>
        <v>0</v>
      </c>
    </row>
  </sheetData>
  <sheetProtection algorithmName="SHA-512" hashValue="aqT8pQj5XifuGAgllTI58lXVFwswf7yLrpynW7kytCxS4UBDSXof6z0KT95M7yXm10kLW3934H47QuyGHpWUgQ==" saltValue="fRZIfvTDsD/BCFkjgpJQKw==" spinCount="100000" sheet="1" objects="1" scenarios="1" selectLockedCells="1"/>
  <mergeCells count="11">
    <mergeCell ref="D43:D45"/>
    <mergeCell ref="D33:D35"/>
    <mergeCell ref="D38:D40"/>
    <mergeCell ref="A38:B38"/>
    <mergeCell ref="D5:D7"/>
    <mergeCell ref="B11:B12"/>
    <mergeCell ref="B14:B15"/>
    <mergeCell ref="D10:D15"/>
    <mergeCell ref="D23:D25"/>
    <mergeCell ref="D28:D30"/>
    <mergeCell ref="A5:B5"/>
  </mergeCells>
  <phoneticPr fontId="6" type="noConversion"/>
  <conditionalFormatting sqref="C15">
    <cfRule type="expression" dxfId="1" priority="1">
      <formula>$A$14=""</formula>
    </cfRule>
  </conditionalFormatting>
  <pageMargins left="0.59055118110236227" right="0.39370078740157483" top="1.1811023622047245" bottom="0.78740157480314965" header="0.31496062992125984" footer="0.31496062992125984"/>
  <pageSetup paperSize="9" orientation="portrait" r:id="rId1"/>
  <headerFooter>
    <oddHeader>&amp;L&amp;G&amp;R&amp;G</oddHeader>
    <oddFooter>&amp;L&amp;9Powered by Argast Informatik- und Elektroengineering, Laufenburg&amp;R&amp;D : &amp;T</oddFoot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B4FC7-5BFF-4CE8-BE55-A8A40408E6D0}">
  <sheetPr codeName="Tabelle4">
    <tabColor theme="9" tint="0.79998168889431442"/>
  </sheetPr>
  <dimension ref="A1:H52"/>
  <sheetViews>
    <sheetView showGridLines="0" showRuler="0" view="pageLayout" zoomScaleNormal="100" workbookViewId="0">
      <selection activeCell="E17" sqref="E17"/>
    </sheetView>
  </sheetViews>
  <sheetFormatPr baseColWidth="10" defaultRowHeight="15" x14ac:dyDescent="0.25"/>
  <cols>
    <col min="1" max="1" width="35.28515625" customWidth="1"/>
    <col min="2" max="2" width="9.28515625" customWidth="1"/>
    <col min="3" max="3" width="9.140625" customWidth="1"/>
    <col min="4" max="4" width="19.5703125" customWidth="1"/>
    <col min="5" max="5" width="18.140625" customWidth="1"/>
    <col min="6" max="8" width="0" hidden="1" customWidth="1"/>
  </cols>
  <sheetData>
    <row r="1" spans="1:8" ht="15.75" x14ac:dyDescent="0.25">
      <c r="A1" s="20" t="s">
        <v>185</v>
      </c>
      <c r="B1" s="20"/>
      <c r="C1" s="20"/>
      <c r="D1" s="20"/>
      <c r="E1" s="8" t="str">
        <f>BasisDaten!$B$1</f>
        <v>2025.06.07</v>
      </c>
    </row>
    <row r="2" spans="1:8" x14ac:dyDescent="0.25">
      <c r="A2" s="119"/>
    </row>
    <row r="4" spans="1:8" x14ac:dyDescent="0.25">
      <c r="B4" s="30"/>
      <c r="C4" s="55"/>
      <c r="D4" s="18"/>
      <c r="E4" s="19" t="s">
        <v>170</v>
      </c>
    </row>
    <row r="5" spans="1:8" x14ac:dyDescent="0.25">
      <c r="A5" s="165" t="s">
        <v>186</v>
      </c>
      <c r="B5" s="167"/>
      <c r="C5" s="57"/>
      <c r="D5" s="56"/>
      <c r="E5" s="32">
        <f>Berechnung!E38</f>
        <v>0</v>
      </c>
    </row>
    <row r="6" spans="1:8" x14ac:dyDescent="0.25">
      <c r="A6" s="5" t="str">
        <f>Grunddaten!$B$8</f>
        <v/>
      </c>
      <c r="B6" s="41"/>
      <c r="C6" s="33">
        <f>1-Grunddaten!E33</f>
        <v>1</v>
      </c>
      <c r="D6" s="56"/>
      <c r="E6" s="12">
        <f>ROUNDUP(E$5*C6,1)</f>
        <v>0</v>
      </c>
    </row>
    <row r="7" spans="1:8" x14ac:dyDescent="0.25">
      <c r="A7" s="5" t="str">
        <f>Grunddaten!$B$35</f>
        <v/>
      </c>
      <c r="B7" s="41"/>
      <c r="C7" s="33">
        <f>Grunddaten!E33</f>
        <v>0</v>
      </c>
      <c r="D7" s="56"/>
      <c r="E7" s="12">
        <f>ROUNDUP(E$5*C7,1)</f>
        <v>0</v>
      </c>
    </row>
    <row r="8" spans="1:8" x14ac:dyDescent="0.25">
      <c r="E8" s="13"/>
    </row>
    <row r="9" spans="1:8" x14ac:dyDescent="0.25">
      <c r="C9" s="63"/>
      <c r="D9" s="64"/>
      <c r="E9" s="19" t="s">
        <v>170</v>
      </c>
      <c r="F9" s="31"/>
      <c r="G9" s="31"/>
    </row>
    <row r="10" spans="1:8" x14ac:dyDescent="0.25">
      <c r="A10" s="165" t="s">
        <v>191</v>
      </c>
      <c r="B10" s="167"/>
      <c r="C10" s="66">
        <v>0.2</v>
      </c>
      <c r="D10" s="56"/>
      <c r="E10" s="32">
        <f>E5*C10</f>
        <v>0</v>
      </c>
    </row>
    <row r="11" spans="1:8" x14ac:dyDescent="0.25">
      <c r="A11" s="5" t="str">
        <f>Grunddaten!$B$8</f>
        <v/>
      </c>
      <c r="B11" s="41"/>
      <c r="C11" s="33">
        <f>C6</f>
        <v>1</v>
      </c>
      <c r="D11" s="56"/>
      <c r="E11" s="12">
        <f>ROUNDUP(C11*E$10,1)</f>
        <v>0</v>
      </c>
    </row>
    <row r="12" spans="1:8" x14ac:dyDescent="0.25">
      <c r="A12" s="5" t="str">
        <f>Grunddaten!$B$35</f>
        <v/>
      </c>
      <c r="B12" s="41"/>
      <c r="C12" s="33">
        <f>C7</f>
        <v>0</v>
      </c>
      <c r="D12" s="56"/>
      <c r="E12" s="12">
        <f>ROUNDUP(E$10*C12,1)</f>
        <v>0</v>
      </c>
    </row>
    <row r="13" spans="1:8" x14ac:dyDescent="0.25">
      <c r="E13" s="13"/>
    </row>
    <row r="14" spans="1:8" x14ac:dyDescent="0.25">
      <c r="B14" s="30"/>
      <c r="C14" s="55"/>
      <c r="D14" s="18"/>
      <c r="E14" s="19">
        <f>IF(C15=0,ROUNDUP(C14*D10*1000,1),0)</f>
        <v>0</v>
      </c>
    </row>
    <row r="15" spans="1:8" ht="14.25" customHeight="1" x14ac:dyDescent="0.25">
      <c r="A15" s="165" t="s">
        <v>192</v>
      </c>
      <c r="B15" s="166"/>
      <c r="C15" s="166"/>
      <c r="D15" s="167"/>
      <c r="E15" s="32">
        <f>E16+E17</f>
        <v>0</v>
      </c>
    </row>
    <row r="16" spans="1:8" x14ac:dyDescent="0.25">
      <c r="A16" s="5" t="str">
        <f>Grunddaten!$B$8</f>
        <v/>
      </c>
      <c r="B16" s="40"/>
      <c r="C16" s="58"/>
      <c r="D16" s="59"/>
      <c r="E16" s="98">
        <v>0</v>
      </c>
      <c r="F16" s="31">
        <f>IF(Grunddaten!$B$6&lt;1,Grunddaten!$E$6*0.06,0)</f>
        <v>0</v>
      </c>
      <c r="G16" s="31">
        <f>F16*C15*Grunddaten!B6*B16</f>
        <v>0</v>
      </c>
      <c r="H16">
        <f>(1-F16)*C15*Grunddaten!B6*B16</f>
        <v>0</v>
      </c>
    </row>
    <row r="17" spans="1:8" x14ac:dyDescent="0.25">
      <c r="A17" s="5" t="str">
        <f>Grunddaten!$B$35</f>
        <v/>
      </c>
      <c r="B17" s="40"/>
      <c r="C17" s="58"/>
      <c r="D17" s="59"/>
      <c r="E17" s="98">
        <v>0</v>
      </c>
      <c r="F17" s="31"/>
      <c r="G17" s="31"/>
    </row>
    <row r="18" spans="1:8" x14ac:dyDescent="0.25">
      <c r="C18" s="62"/>
      <c r="D18" s="62"/>
      <c r="E18" s="65"/>
      <c r="F18" s="31"/>
      <c r="G18" s="31"/>
    </row>
    <row r="19" spans="1:8" x14ac:dyDescent="0.25">
      <c r="C19" s="67"/>
      <c r="D19" s="18"/>
      <c r="E19" s="19" t="s">
        <v>170</v>
      </c>
      <c r="F19" s="31">
        <f>IF(Grunddaten!$B$32&lt;1,Grunddaten!$E$32*0.06,0)</f>
        <v>0</v>
      </c>
      <c r="G19" s="31">
        <f>F19*C15*Grunddaten!B32*C19</f>
        <v>0</v>
      </c>
      <c r="H19">
        <f>(1-F19)*C15*Grunddaten!B32*C19</f>
        <v>0</v>
      </c>
    </row>
    <row r="20" spans="1:8" x14ac:dyDescent="0.25">
      <c r="A20" s="42" t="s">
        <v>187</v>
      </c>
      <c r="B20" s="41"/>
      <c r="C20" s="6">
        <f>Berechnung!C5</f>
        <v>0</v>
      </c>
      <c r="D20" s="68" t="s">
        <v>168</v>
      </c>
      <c r="E20" s="32">
        <f>IF(C20=0,0,IF(C20&lt;=70,(20*C20)+6000,(80*C20)+16000))</f>
        <v>0</v>
      </c>
      <c r="F20" s="31"/>
      <c r="G20" s="31"/>
    </row>
    <row r="21" spans="1:8" x14ac:dyDescent="0.25">
      <c r="A21" s="5" t="str">
        <f>Grunddaten!$B$8</f>
        <v/>
      </c>
      <c r="B21" s="41"/>
      <c r="C21" s="33">
        <f>C$6</f>
        <v>1</v>
      </c>
      <c r="D21" s="56"/>
      <c r="E21" s="12">
        <f>ROUNDUP(E$20*C21,1)</f>
        <v>0</v>
      </c>
      <c r="F21" s="31"/>
      <c r="G21" s="31"/>
    </row>
    <row r="22" spans="1:8" x14ac:dyDescent="0.25">
      <c r="A22" s="5" t="str">
        <f>Grunddaten!$B$35</f>
        <v/>
      </c>
      <c r="B22" s="41"/>
      <c r="C22" s="33">
        <f>C$7</f>
        <v>0</v>
      </c>
      <c r="D22" s="56"/>
      <c r="E22" s="12">
        <f>ROUNDUP(E$20*C22,1)</f>
        <v>0</v>
      </c>
    </row>
    <row r="23" spans="1:8" x14ac:dyDescent="0.25">
      <c r="A23" s="50"/>
      <c r="E23" s="52"/>
    </row>
    <row r="24" spans="1:8" x14ac:dyDescent="0.25">
      <c r="B24" s="30"/>
      <c r="C24" s="55"/>
      <c r="D24" s="18"/>
      <c r="E24" s="19" t="s">
        <v>170</v>
      </c>
    </row>
    <row r="25" spans="1:8" x14ac:dyDescent="0.25">
      <c r="A25" s="165" t="s">
        <v>188</v>
      </c>
      <c r="B25" s="166"/>
      <c r="C25" s="58"/>
      <c r="D25" s="59"/>
      <c r="E25" s="32">
        <f>E5+E15-E20</f>
        <v>0</v>
      </c>
    </row>
    <row r="26" spans="1:8" x14ac:dyDescent="0.25">
      <c r="A26" s="5" t="str">
        <f>Grunddaten!$B$8</f>
        <v/>
      </c>
      <c r="B26" s="40"/>
      <c r="C26" s="33">
        <f>C$6</f>
        <v>1</v>
      </c>
      <c r="D26" s="59"/>
      <c r="E26" s="12">
        <f>E6+E16-E21</f>
        <v>0</v>
      </c>
    </row>
    <row r="27" spans="1:8" x14ac:dyDescent="0.25">
      <c r="A27" s="5" t="str">
        <f>Grunddaten!$B$35</f>
        <v/>
      </c>
      <c r="B27" s="40"/>
      <c r="C27" s="33">
        <f>C$7</f>
        <v>0</v>
      </c>
      <c r="D27" s="59"/>
      <c r="E27" s="12">
        <f>E7+E17-E22</f>
        <v>0</v>
      </c>
    </row>
    <row r="28" spans="1:8" x14ac:dyDescent="0.25">
      <c r="A28" s="50"/>
      <c r="C28" s="50"/>
      <c r="D28" s="44"/>
      <c r="E28" s="52"/>
    </row>
    <row r="29" spans="1:8" x14ac:dyDescent="0.25">
      <c r="A29" s="42" t="s">
        <v>115</v>
      </c>
      <c r="B29" s="99">
        <v>45</v>
      </c>
      <c r="C29" t="s">
        <v>116</v>
      </c>
      <c r="D29" s="44"/>
      <c r="E29" s="13"/>
    </row>
    <row r="30" spans="1:8" x14ac:dyDescent="0.25">
      <c r="B30" s="49"/>
      <c r="D30" s="44"/>
      <c r="E30" s="13"/>
    </row>
    <row r="31" spans="1:8" x14ac:dyDescent="0.25">
      <c r="B31" s="30"/>
      <c r="C31" s="55"/>
      <c r="D31" s="18"/>
      <c r="E31" s="19" t="s">
        <v>170</v>
      </c>
    </row>
    <row r="32" spans="1:8" x14ac:dyDescent="0.25">
      <c r="A32" s="165" t="s">
        <v>190</v>
      </c>
      <c r="B32" s="166"/>
      <c r="C32" s="166"/>
      <c r="D32" s="167"/>
      <c r="E32" s="60"/>
    </row>
    <row r="33" spans="1:5" x14ac:dyDescent="0.25">
      <c r="A33" s="5" t="str">
        <f>Grunddaten!$B$8</f>
        <v/>
      </c>
      <c r="B33" s="205"/>
      <c r="C33" s="205"/>
      <c r="D33" s="206"/>
      <c r="E33" s="60">
        <f>IF(Berechnung!C44=0,0,E26/Berechnung!C44/1000/B29)</f>
        <v>0</v>
      </c>
    </row>
    <row r="34" spans="1:5" x14ac:dyDescent="0.25">
      <c r="A34" s="5" t="str">
        <f>Grunddaten!$B$35</f>
        <v/>
      </c>
      <c r="B34" s="205"/>
      <c r="C34" s="205"/>
      <c r="D34" s="206"/>
      <c r="E34" s="60">
        <f>IF(Berechnung!C45=0,0,E27/Berechnung!C45/1000/B29)</f>
        <v>0</v>
      </c>
    </row>
    <row r="35" spans="1:5" x14ac:dyDescent="0.25">
      <c r="A35" s="50"/>
      <c r="C35" s="50"/>
      <c r="D35" s="44"/>
      <c r="E35" s="52"/>
    </row>
    <row r="36" spans="1:5" x14ac:dyDescent="0.25">
      <c r="B36" s="30"/>
      <c r="C36" s="55"/>
      <c r="D36" s="18"/>
      <c r="E36" s="19" t="s">
        <v>170</v>
      </c>
    </row>
    <row r="37" spans="1:5" x14ac:dyDescent="0.25">
      <c r="A37" s="165" t="s">
        <v>200</v>
      </c>
      <c r="B37" s="166"/>
      <c r="C37" s="58"/>
      <c r="D37" s="59"/>
      <c r="E37" s="32"/>
    </row>
    <row r="38" spans="1:5" x14ac:dyDescent="0.25">
      <c r="A38" s="5" t="str">
        <f>Grunddaten!$B$8</f>
        <v/>
      </c>
      <c r="B38" s="205"/>
      <c r="C38" s="205"/>
      <c r="D38" s="206"/>
      <c r="E38" s="60">
        <f>E33+Berechnung!E44</f>
        <v>0</v>
      </c>
    </row>
    <row r="39" spans="1:5" x14ac:dyDescent="0.25">
      <c r="A39" s="5" t="str">
        <f>Grunddaten!$B$35</f>
        <v/>
      </c>
      <c r="B39" s="205"/>
      <c r="C39" s="205"/>
      <c r="D39" s="206"/>
      <c r="E39" s="60">
        <f>E34+Berechnung!E45</f>
        <v>0</v>
      </c>
    </row>
    <row r="40" spans="1:5" x14ac:dyDescent="0.25">
      <c r="A40" s="50"/>
      <c r="C40" s="9"/>
      <c r="D40" s="44"/>
      <c r="E40" s="52"/>
    </row>
    <row r="41" spans="1:5" x14ac:dyDescent="0.25">
      <c r="B41" s="49"/>
      <c r="D41" s="44"/>
      <c r="E41" s="13"/>
    </row>
    <row r="42" spans="1:5" x14ac:dyDescent="0.25">
      <c r="B42" s="49"/>
      <c r="D42" s="44"/>
      <c r="E42" s="13"/>
    </row>
    <row r="44" spans="1:5" x14ac:dyDescent="0.25">
      <c r="C44" s="8"/>
      <c r="E44" s="8"/>
    </row>
    <row r="45" spans="1:5" x14ac:dyDescent="0.25">
      <c r="A45" s="204"/>
      <c r="B45" s="204"/>
      <c r="C45" s="50"/>
      <c r="D45" s="51"/>
      <c r="E45" s="52"/>
    </row>
    <row r="46" spans="1:5" x14ac:dyDescent="0.25">
      <c r="B46" s="49"/>
      <c r="D46" s="51"/>
      <c r="E46" s="13"/>
    </row>
    <row r="47" spans="1:5" x14ac:dyDescent="0.25">
      <c r="B47" s="49"/>
      <c r="D47" s="51"/>
      <c r="E47" s="13"/>
    </row>
    <row r="49" spans="1:5" x14ac:dyDescent="0.25">
      <c r="C49" s="8"/>
      <c r="E49" s="8"/>
    </row>
    <row r="50" spans="1:5" x14ac:dyDescent="0.25">
      <c r="A50" s="50"/>
      <c r="B50" s="46"/>
      <c r="C50" s="46"/>
      <c r="E50" s="53"/>
    </row>
    <row r="51" spans="1:5" x14ac:dyDescent="0.25">
      <c r="B51" s="49"/>
      <c r="C51" s="46"/>
      <c r="E51" s="54"/>
    </row>
    <row r="52" spans="1:5" x14ac:dyDescent="0.25">
      <c r="B52" s="49"/>
      <c r="C52" s="46"/>
      <c r="E52" s="54"/>
    </row>
  </sheetData>
  <sheetProtection algorithmName="SHA-512" hashValue="989PWS4c7Zk6pUbP62yNbhS8NlgL7Foh9iLs3k7Tx6x5z+rLW1/4CYDexl0SeC7klZ2MjBLrDHFTOJkGRyZjJA==" saltValue="TDZaTWXWThNNXqXLlQLi5w==" spinCount="100000" sheet="1" objects="1" scenarios="1" selectLockedCells="1"/>
  <mergeCells count="11">
    <mergeCell ref="A37:B37"/>
    <mergeCell ref="A45:B45"/>
    <mergeCell ref="A5:B5"/>
    <mergeCell ref="A25:B25"/>
    <mergeCell ref="A32:D32"/>
    <mergeCell ref="B33:D33"/>
    <mergeCell ref="B34:D34"/>
    <mergeCell ref="B38:D38"/>
    <mergeCell ref="B39:D39"/>
    <mergeCell ref="A10:B10"/>
    <mergeCell ref="A15:D15"/>
  </mergeCells>
  <conditionalFormatting sqref="E17">
    <cfRule type="expression" dxfId="0" priority="1">
      <formula>$A$17=""</formula>
    </cfRule>
  </conditionalFormatting>
  <pageMargins left="0.59055118110236227" right="0.39370078740157483" top="1.1811023622047245" bottom="0.78740157480314965" header="0.31496062992125984" footer="0.31496062992125984"/>
  <pageSetup paperSize="9" orientation="portrait" r:id="rId1"/>
  <headerFooter>
    <oddHeader>&amp;L&amp;G&amp;R&amp;G</oddHeader>
    <oddFooter>&amp;L&amp;9Powered by Argast Informatik- und Elektroengineering, Laufenburg&amp;R&amp;D : &amp;T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20A3C-8FCD-4154-9797-E26B0068E6EB}">
  <sheetPr>
    <tabColor theme="7" tint="0.79998168889431442"/>
  </sheetPr>
  <dimension ref="A1:F43"/>
  <sheetViews>
    <sheetView view="pageLayout" topLeftCell="A14" zoomScaleNormal="100" workbookViewId="0">
      <selection activeCell="C12" sqref="C12"/>
    </sheetView>
  </sheetViews>
  <sheetFormatPr baseColWidth="10" defaultRowHeight="15" x14ac:dyDescent="0.25"/>
  <cols>
    <col min="1" max="1" width="36.5703125" customWidth="1"/>
    <col min="2" max="2" width="11" customWidth="1"/>
    <col min="6" max="6" width="8.85546875" customWidth="1"/>
  </cols>
  <sheetData>
    <row r="1" spans="1:6" ht="15.75" x14ac:dyDescent="0.25">
      <c r="A1" s="207" t="s">
        <v>242</v>
      </c>
      <c r="B1" s="207"/>
      <c r="C1" s="207"/>
      <c r="D1" s="207"/>
      <c r="E1" s="20"/>
      <c r="F1" s="8" t="str">
        <f>BasisDaten!$B$1</f>
        <v>2025.06.07</v>
      </c>
    </row>
    <row r="3" spans="1:6" x14ac:dyDescent="0.25">
      <c r="A3" s="6" t="s">
        <v>212</v>
      </c>
    </row>
    <row r="4" spans="1:6" x14ac:dyDescent="0.25">
      <c r="A4" s="5" t="s">
        <v>162</v>
      </c>
      <c r="B4" s="171" t="str">
        <f>IF(Grunddaten!B4="","",Grunddaten!B4)</f>
        <v/>
      </c>
      <c r="C4" s="172"/>
      <c r="D4" s="172"/>
      <c r="E4" s="172"/>
      <c r="F4" s="173"/>
    </row>
    <row r="5" spans="1:6" x14ac:dyDescent="0.25">
      <c r="A5" s="5" t="s">
        <v>163</v>
      </c>
      <c r="B5" s="131" t="str">
        <f>IF(Grunddaten!B5="","",Grunddaten!B5)</f>
        <v/>
      </c>
      <c r="C5" s="128"/>
      <c r="D5" s="129"/>
      <c r="E5" s="129"/>
      <c r="F5" s="129"/>
    </row>
    <row r="6" spans="1:6" ht="14.25" customHeight="1" x14ac:dyDescent="0.25">
      <c r="A6" s="135"/>
      <c r="B6" s="135"/>
      <c r="C6" s="135"/>
      <c r="D6" s="135"/>
      <c r="E6" s="135"/>
      <c r="F6" s="135"/>
    </row>
    <row r="7" spans="1:6" x14ac:dyDescent="0.25">
      <c r="A7" s="6" t="s">
        <v>164</v>
      </c>
    </row>
    <row r="8" spans="1:6" x14ac:dyDescent="0.25">
      <c r="A8" s="5" t="s">
        <v>162</v>
      </c>
      <c r="B8" s="171" t="str">
        <f>IF(Grunddaten!B30="","",Grunddaten!B30)</f>
        <v/>
      </c>
      <c r="C8" s="172"/>
      <c r="D8" s="172"/>
      <c r="E8" s="172"/>
      <c r="F8" s="173"/>
    </row>
    <row r="9" spans="1:6" x14ac:dyDescent="0.25">
      <c r="A9" s="5" t="s">
        <v>163</v>
      </c>
      <c r="B9" s="131" t="str">
        <f>IF(Grunddaten!B31="","",Grunddaten!B31)</f>
        <v/>
      </c>
      <c r="C9" s="128"/>
      <c r="D9" s="129"/>
      <c r="E9" s="129"/>
      <c r="F9" s="129"/>
    </row>
    <row r="11" spans="1:6" x14ac:dyDescent="0.25">
      <c r="A11" s="71" t="s">
        <v>239</v>
      </c>
      <c r="B11" s="72"/>
      <c r="C11" s="165" t="s">
        <v>240</v>
      </c>
      <c r="D11" s="166"/>
      <c r="E11" s="166"/>
      <c r="F11" s="167"/>
    </row>
    <row r="12" spans="1:6" x14ac:dyDescent="0.25">
      <c r="A12" s="168"/>
      <c r="B12" s="123"/>
      <c r="C12" s="126" t="s">
        <v>205</v>
      </c>
      <c r="D12" s="176"/>
      <c r="E12" s="177"/>
      <c r="F12" s="178"/>
    </row>
    <row r="13" spans="1:6" x14ac:dyDescent="0.25">
      <c r="A13" s="169"/>
      <c r="B13" s="123"/>
      <c r="C13" s="126" t="s">
        <v>207</v>
      </c>
      <c r="D13" s="176"/>
      <c r="E13" s="177"/>
      <c r="F13" s="178"/>
    </row>
    <row r="14" spans="1:6" x14ac:dyDescent="0.25">
      <c r="A14" s="169"/>
      <c r="B14" s="123"/>
      <c r="C14" s="126" t="s">
        <v>209</v>
      </c>
      <c r="D14" s="176"/>
      <c r="E14" s="177"/>
      <c r="F14" s="178"/>
    </row>
    <row r="15" spans="1:6" x14ac:dyDescent="0.25">
      <c r="A15" s="169"/>
      <c r="B15" s="123"/>
      <c r="C15" s="126" t="s">
        <v>206</v>
      </c>
      <c r="D15" s="176"/>
      <c r="E15" s="177"/>
      <c r="F15" s="178"/>
    </row>
    <row r="16" spans="1:6" x14ac:dyDescent="0.25">
      <c r="A16" s="169"/>
      <c r="B16" s="123"/>
      <c r="C16" s="126" t="s">
        <v>208</v>
      </c>
      <c r="D16" s="176"/>
      <c r="E16" s="177"/>
      <c r="F16" s="178"/>
    </row>
    <row r="17" spans="1:6" x14ac:dyDescent="0.25">
      <c r="A17" s="170"/>
      <c r="B17" s="123"/>
      <c r="C17" s="127"/>
      <c r="D17" s="176"/>
      <c r="E17" s="177"/>
      <c r="F17" s="178"/>
    </row>
    <row r="19" spans="1:6" x14ac:dyDescent="0.25">
      <c r="C19" s="165" t="s">
        <v>241</v>
      </c>
      <c r="D19" s="166"/>
      <c r="E19" s="166"/>
      <c r="F19" s="167"/>
    </row>
    <row r="20" spans="1:6" x14ac:dyDescent="0.25">
      <c r="C20" s="126" t="s">
        <v>205</v>
      </c>
      <c r="D20" s="176"/>
      <c r="E20" s="177"/>
      <c r="F20" s="178"/>
    </row>
    <row r="21" spans="1:6" x14ac:dyDescent="0.25">
      <c r="C21" s="126" t="s">
        <v>207</v>
      </c>
      <c r="D21" s="176"/>
      <c r="E21" s="177"/>
      <c r="F21" s="178"/>
    </row>
    <row r="22" spans="1:6" x14ac:dyDescent="0.25">
      <c r="C22" s="126" t="s">
        <v>206</v>
      </c>
      <c r="D22" s="176"/>
      <c r="E22" s="177"/>
      <c r="F22" s="178"/>
    </row>
    <row r="23" spans="1:6" x14ac:dyDescent="0.25">
      <c r="C23" s="127"/>
      <c r="D23" s="176"/>
      <c r="E23" s="177"/>
      <c r="F23" s="178"/>
    </row>
    <row r="25" spans="1:6" x14ac:dyDescent="0.25">
      <c r="A25" s="6" t="s">
        <v>243</v>
      </c>
      <c r="B25" s="141" t="s">
        <v>262</v>
      </c>
    </row>
    <row r="26" spans="1:6" x14ac:dyDescent="0.25">
      <c r="A26" s="5" t="s">
        <v>244</v>
      </c>
      <c r="B26" s="140"/>
    </row>
    <row r="27" spans="1:6" x14ac:dyDescent="0.25">
      <c r="A27" s="5" t="s">
        <v>249</v>
      </c>
      <c r="B27" s="140"/>
    </row>
    <row r="28" spans="1:6" x14ac:dyDescent="0.25">
      <c r="A28" s="5" t="s">
        <v>248</v>
      </c>
      <c r="B28" s="140"/>
    </row>
    <row r="29" spans="1:6" x14ac:dyDescent="0.25">
      <c r="A29" s="5" t="s">
        <v>245</v>
      </c>
      <c r="B29" s="140"/>
    </row>
    <row r="30" spans="1:6" x14ac:dyDescent="0.25">
      <c r="A30" s="5" t="s">
        <v>247</v>
      </c>
      <c r="B30" s="140"/>
    </row>
    <row r="31" spans="1:6" x14ac:dyDescent="0.25">
      <c r="A31" s="5" t="s">
        <v>246</v>
      </c>
      <c r="B31" s="140"/>
    </row>
    <row r="32" spans="1:6" x14ac:dyDescent="0.25">
      <c r="A32" s="5" t="s">
        <v>250</v>
      </c>
      <c r="B32" s="140"/>
    </row>
    <row r="33" spans="1:2" x14ac:dyDescent="0.25">
      <c r="A33" s="5" t="s">
        <v>251</v>
      </c>
      <c r="B33" s="140"/>
    </row>
    <row r="34" spans="1:2" x14ac:dyDescent="0.25">
      <c r="A34" s="5" t="s">
        <v>252</v>
      </c>
      <c r="B34" s="140"/>
    </row>
    <row r="35" spans="1:2" x14ac:dyDescent="0.25">
      <c r="A35" s="5" t="s">
        <v>253</v>
      </c>
      <c r="B35" s="140"/>
    </row>
    <row r="36" spans="1:2" x14ac:dyDescent="0.25">
      <c r="A36" s="5" t="s">
        <v>254</v>
      </c>
      <c r="B36" s="140"/>
    </row>
    <row r="37" spans="1:2" x14ac:dyDescent="0.25">
      <c r="A37" s="5" t="s">
        <v>255</v>
      </c>
      <c r="B37" s="140"/>
    </row>
    <row r="38" spans="1:2" x14ac:dyDescent="0.25">
      <c r="A38" s="5" t="s">
        <v>256</v>
      </c>
      <c r="B38" s="140"/>
    </row>
    <row r="39" spans="1:2" x14ac:dyDescent="0.25">
      <c r="A39" s="5" t="s">
        <v>257</v>
      </c>
      <c r="B39" s="140"/>
    </row>
    <row r="40" spans="1:2" x14ac:dyDescent="0.25">
      <c r="A40" s="5" t="s">
        <v>258</v>
      </c>
      <c r="B40" s="140"/>
    </row>
    <row r="41" spans="1:2" x14ac:dyDescent="0.25">
      <c r="A41" s="5" t="s">
        <v>259</v>
      </c>
      <c r="B41" s="140"/>
    </row>
    <row r="42" spans="1:2" x14ac:dyDescent="0.25">
      <c r="A42" s="5" t="s">
        <v>260</v>
      </c>
      <c r="B42" s="140"/>
    </row>
    <row r="43" spans="1:2" x14ac:dyDescent="0.25">
      <c r="A43" s="5" t="s">
        <v>261</v>
      </c>
      <c r="B43" s="140"/>
    </row>
  </sheetData>
  <sheetProtection algorithmName="SHA-512" hashValue="EKgu0wG5gT4oZuwUnxkqX8lFk0Oyu+31sONtnHxvcsW5DtL1icjtv779Ps+RuHxMwt3zYUoiS+6ZgLVpWgNBPg==" saltValue="MrvFc0Q8KIx9MqhshivNhQ==" spinCount="100000" sheet="1" objects="1" scenarios="1" selectLockedCells="1"/>
  <mergeCells count="16">
    <mergeCell ref="D20:F20"/>
    <mergeCell ref="D21:F21"/>
    <mergeCell ref="D22:F22"/>
    <mergeCell ref="D23:F23"/>
    <mergeCell ref="C11:F11"/>
    <mergeCell ref="A12:A17"/>
    <mergeCell ref="A1:D1"/>
    <mergeCell ref="B8:F8"/>
    <mergeCell ref="C19:F19"/>
    <mergeCell ref="D12:F12"/>
    <mergeCell ref="D13:F13"/>
    <mergeCell ref="D14:F14"/>
    <mergeCell ref="D15:F15"/>
    <mergeCell ref="D16:F16"/>
    <mergeCell ref="B4:F4"/>
    <mergeCell ref="D17:F17"/>
  </mergeCells>
  <pageMargins left="0.59055118110236227" right="0.39370078740157483" top="1.1811023622047245" bottom="0.78740157480314965" header="0.31496062992125984" footer="0.31496062992125984"/>
  <pageSetup paperSize="9" orientation="portrait" r:id="rId1"/>
  <headerFooter>
    <oddHeader>&amp;L&amp;G&amp;R&amp;G</oddHeader>
    <oddFooter>&amp;LPowered by Argast Informatik- und Elektroengineering, Laufenburg&amp;R&amp;D : &amp;T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F6CFB-78D0-40CE-9AA4-3160117D751C}">
  <sheetPr codeName="Tabelle5">
    <tabColor rgb="FFFFC000"/>
    <pageSetUpPr fitToPage="1"/>
  </sheetPr>
  <dimension ref="A1:AQ68"/>
  <sheetViews>
    <sheetView showGridLines="0" view="pageLayout" topLeftCell="A12" zoomScaleNormal="100" zoomScaleSheetLayoutView="100" workbookViewId="0">
      <selection activeCell="B43" sqref="B43"/>
    </sheetView>
  </sheetViews>
  <sheetFormatPr baseColWidth="10" defaultColWidth="2" defaultRowHeight="15" x14ac:dyDescent="0.25"/>
  <cols>
    <col min="1" max="4" width="15" customWidth="1"/>
    <col min="11" max="11" width="1.42578125" customWidth="1"/>
    <col min="13" max="13" width="2" style="21"/>
    <col min="14" max="18" width="11.42578125" style="72" customWidth="1"/>
    <col min="19" max="43" width="2" style="21"/>
  </cols>
  <sheetData>
    <row r="1" spans="1:18" ht="19.5" thickBot="1" x14ac:dyDescent="0.35">
      <c r="A1" s="2" t="s">
        <v>84</v>
      </c>
      <c r="N1" s="115" t="s">
        <v>133</v>
      </c>
      <c r="O1" s="115" t="s">
        <v>134</v>
      </c>
      <c r="P1" s="115" t="s">
        <v>135</v>
      </c>
      <c r="Q1" s="115" t="s">
        <v>136</v>
      </c>
      <c r="R1" s="8" t="str">
        <f>BasisDaten!$B$1</f>
        <v>2025.06.07</v>
      </c>
    </row>
    <row r="2" spans="1:18" ht="33.75" customHeight="1" x14ac:dyDescent="0.25">
      <c r="A2" s="100"/>
      <c r="B2" s="101" t="s">
        <v>131</v>
      </c>
      <c r="C2" s="208" t="s">
        <v>132</v>
      </c>
      <c r="D2" s="209"/>
      <c r="N2" s="72">
        <v>15000</v>
      </c>
      <c r="O2" s="72">
        <f>IF(N2&lt;=$B$3,$B$6,IF(N2&gt;=$B$4,$B$5,$B$6-($B$7*(N2-$B$3))))</f>
        <v>0.09</v>
      </c>
      <c r="P2" s="72">
        <f t="shared" ref="P2:P14" si="0">IF(N2&lt;=$B$3,$C$6,IF(N2&gt;=$B$4,$C$5,$C$6-($C$7*(N2-$B$3))))</f>
        <v>7.0000000000000007E-2</v>
      </c>
      <c r="Q2" s="72">
        <f t="shared" ref="Q2:Q14" si="1">IF(N2&lt;=$B$3,$D$6,IF(N2&gt;=$B$4,$D$5,$D$6-($D$7*(N2-$B$3))))</f>
        <v>0.12</v>
      </c>
      <c r="R2" s="72">
        <f t="shared" ref="R2:R14" si="2">N2/1000</f>
        <v>15</v>
      </c>
    </row>
    <row r="3" spans="1:18" x14ac:dyDescent="0.25">
      <c r="A3" s="5" t="s">
        <v>138</v>
      </c>
      <c r="B3" s="118">
        <v>20000</v>
      </c>
      <c r="C3" s="210"/>
      <c r="D3" s="211"/>
      <c r="N3" s="72">
        <v>20000</v>
      </c>
      <c r="O3" s="72">
        <f t="shared" ref="O3:O14" si="3">IF(N3&lt;=$B$3,$B$6,IF(N3&gt;=$B$4,$B$5,$B$6-($B$7*(N3-$B$3))))</f>
        <v>0.09</v>
      </c>
      <c r="P3" s="72">
        <f t="shared" si="0"/>
        <v>7.0000000000000007E-2</v>
      </c>
      <c r="Q3" s="72">
        <f t="shared" si="1"/>
        <v>0.12</v>
      </c>
      <c r="R3" s="72">
        <f t="shared" si="2"/>
        <v>20</v>
      </c>
    </row>
    <row r="4" spans="1:18" x14ac:dyDescent="0.25">
      <c r="A4" s="5" t="s">
        <v>139</v>
      </c>
      <c r="B4" s="118">
        <v>70000</v>
      </c>
      <c r="C4" s="102" t="s">
        <v>82</v>
      </c>
      <c r="D4" s="103" t="s">
        <v>83</v>
      </c>
      <c r="N4" s="72">
        <v>25000</v>
      </c>
      <c r="O4" s="72">
        <f t="shared" si="3"/>
        <v>0.09</v>
      </c>
      <c r="P4" s="72">
        <f t="shared" si="0"/>
        <v>7.0000000000000007E-2</v>
      </c>
      <c r="Q4" s="72">
        <f t="shared" si="1"/>
        <v>0.12</v>
      </c>
      <c r="R4" s="72">
        <f t="shared" si="2"/>
        <v>25</v>
      </c>
    </row>
    <row r="5" spans="1:18" x14ac:dyDescent="0.25">
      <c r="A5" s="5" t="s">
        <v>82</v>
      </c>
      <c r="B5" s="17">
        <v>0.09</v>
      </c>
      <c r="C5" s="106">
        <v>7.0000000000000007E-2</v>
      </c>
      <c r="D5" s="107">
        <v>0.12</v>
      </c>
      <c r="N5" s="72">
        <v>30000</v>
      </c>
      <c r="O5" s="72">
        <f t="shared" si="3"/>
        <v>0.09</v>
      </c>
      <c r="P5" s="72">
        <f t="shared" si="0"/>
        <v>7.0000000000000007E-2</v>
      </c>
      <c r="Q5" s="72">
        <f t="shared" si="1"/>
        <v>0.12</v>
      </c>
      <c r="R5" s="72">
        <f t="shared" si="2"/>
        <v>30</v>
      </c>
    </row>
    <row r="6" spans="1:18" ht="15.75" thickBot="1" x14ac:dyDescent="0.3">
      <c r="A6" s="5" t="s">
        <v>83</v>
      </c>
      <c r="B6" s="17">
        <v>0.09</v>
      </c>
      <c r="C6" s="108">
        <v>7.0000000000000007E-2</v>
      </c>
      <c r="D6" s="109">
        <v>0.12</v>
      </c>
      <c r="E6" s="104"/>
      <c r="N6" s="72">
        <v>35000</v>
      </c>
      <c r="O6" s="72">
        <f t="shared" si="3"/>
        <v>0.09</v>
      </c>
      <c r="P6" s="72">
        <f t="shared" si="0"/>
        <v>7.0000000000000007E-2</v>
      </c>
      <c r="Q6" s="72">
        <f t="shared" si="1"/>
        <v>0.12</v>
      </c>
      <c r="R6" s="72">
        <f t="shared" si="2"/>
        <v>35</v>
      </c>
    </row>
    <row r="7" spans="1:18" x14ac:dyDescent="0.25">
      <c r="B7" s="72">
        <f>(B6-B5)/(B4-B3)</f>
        <v>0</v>
      </c>
      <c r="C7" s="72">
        <f>(C6-C5)/(B4-B3)</f>
        <v>0</v>
      </c>
      <c r="D7" s="72">
        <f>(D6-D5)/(B4-B3)</f>
        <v>0</v>
      </c>
      <c r="N7" s="72">
        <v>40000</v>
      </c>
      <c r="O7" s="72">
        <f t="shared" si="3"/>
        <v>0.09</v>
      </c>
      <c r="P7" s="72">
        <f t="shared" si="0"/>
        <v>7.0000000000000007E-2</v>
      </c>
      <c r="Q7" s="72">
        <f t="shared" si="1"/>
        <v>0.12</v>
      </c>
      <c r="R7" s="72">
        <f t="shared" si="2"/>
        <v>40</v>
      </c>
    </row>
    <row r="8" spans="1:18" x14ac:dyDescent="0.25">
      <c r="N8" s="72">
        <v>45000</v>
      </c>
      <c r="O8" s="72">
        <f t="shared" si="3"/>
        <v>0.09</v>
      </c>
      <c r="P8" s="72">
        <f t="shared" si="0"/>
        <v>7.0000000000000007E-2</v>
      </c>
      <c r="Q8" s="72">
        <f t="shared" si="1"/>
        <v>0.12</v>
      </c>
      <c r="R8" s="72">
        <f t="shared" si="2"/>
        <v>45</v>
      </c>
    </row>
    <row r="9" spans="1:18" x14ac:dyDescent="0.25">
      <c r="N9" s="72">
        <v>50000</v>
      </c>
      <c r="O9" s="72">
        <f t="shared" si="3"/>
        <v>0.09</v>
      </c>
      <c r="P9" s="72">
        <f t="shared" si="0"/>
        <v>7.0000000000000007E-2</v>
      </c>
      <c r="Q9" s="72">
        <f t="shared" si="1"/>
        <v>0.12</v>
      </c>
      <c r="R9" s="72">
        <f t="shared" si="2"/>
        <v>50</v>
      </c>
    </row>
    <row r="10" spans="1:18" ht="24" customHeight="1" x14ac:dyDescent="0.25">
      <c r="N10" s="72">
        <v>55000</v>
      </c>
      <c r="O10" s="72">
        <f t="shared" si="3"/>
        <v>0.09</v>
      </c>
      <c r="P10" s="72">
        <f t="shared" si="0"/>
        <v>7.0000000000000007E-2</v>
      </c>
      <c r="Q10" s="72">
        <f t="shared" si="1"/>
        <v>0.12</v>
      </c>
      <c r="R10" s="72">
        <f t="shared" si="2"/>
        <v>55</v>
      </c>
    </row>
    <row r="11" spans="1:18" ht="19.5" thickBot="1" x14ac:dyDescent="0.35">
      <c r="A11" s="2" t="s">
        <v>193</v>
      </c>
      <c r="N11" s="72">
        <v>60000</v>
      </c>
      <c r="O11" s="72">
        <f t="shared" si="3"/>
        <v>0.09</v>
      </c>
      <c r="P11" s="72">
        <f t="shared" si="0"/>
        <v>7.0000000000000007E-2</v>
      </c>
      <c r="Q11" s="72">
        <f t="shared" si="1"/>
        <v>0.12</v>
      </c>
      <c r="R11" s="72">
        <f t="shared" si="2"/>
        <v>60</v>
      </c>
    </row>
    <row r="12" spans="1:18" x14ac:dyDescent="0.25">
      <c r="A12" s="100"/>
      <c r="B12" s="101" t="s">
        <v>131</v>
      </c>
      <c r="C12" s="208" t="s">
        <v>132</v>
      </c>
      <c r="D12" s="209"/>
      <c r="N12" s="72">
        <v>65000</v>
      </c>
      <c r="O12" s="72">
        <f t="shared" si="3"/>
        <v>0.09</v>
      </c>
      <c r="P12" s="72">
        <f t="shared" si="0"/>
        <v>7.0000000000000007E-2</v>
      </c>
      <c r="Q12" s="72">
        <f t="shared" si="1"/>
        <v>0.12</v>
      </c>
      <c r="R12" s="72">
        <f t="shared" si="2"/>
        <v>65</v>
      </c>
    </row>
    <row r="13" spans="1:18" x14ac:dyDescent="0.25">
      <c r="A13" s="5" t="s">
        <v>80</v>
      </c>
      <c r="B13" s="118">
        <v>10</v>
      </c>
      <c r="C13" s="210"/>
      <c r="D13" s="211"/>
      <c r="N13" s="72">
        <v>70000</v>
      </c>
      <c r="O13" s="72">
        <f t="shared" si="3"/>
        <v>0.09</v>
      </c>
      <c r="P13" s="72">
        <f t="shared" si="0"/>
        <v>7.0000000000000007E-2</v>
      </c>
      <c r="Q13" s="72">
        <f t="shared" si="1"/>
        <v>0.12</v>
      </c>
      <c r="R13" s="72">
        <f t="shared" si="2"/>
        <v>70</v>
      </c>
    </row>
    <row r="14" spans="1:18" x14ac:dyDescent="0.25">
      <c r="A14" s="5" t="s">
        <v>81</v>
      </c>
      <c r="B14" s="118">
        <v>50</v>
      </c>
      <c r="C14" s="102" t="s">
        <v>82</v>
      </c>
      <c r="D14" s="103" t="s">
        <v>83</v>
      </c>
      <c r="N14" s="72">
        <v>75000</v>
      </c>
      <c r="O14" s="72">
        <f t="shared" si="3"/>
        <v>0.09</v>
      </c>
      <c r="P14" s="72">
        <f t="shared" si="0"/>
        <v>7.0000000000000007E-2</v>
      </c>
      <c r="Q14" s="72">
        <f t="shared" si="1"/>
        <v>0.12</v>
      </c>
      <c r="R14" s="72">
        <f t="shared" si="2"/>
        <v>75</v>
      </c>
    </row>
    <row r="15" spans="1:18" ht="17.25" customHeight="1" x14ac:dyDescent="0.25">
      <c r="A15" s="5" t="s">
        <v>82</v>
      </c>
      <c r="B15" s="17">
        <v>70</v>
      </c>
      <c r="C15" s="106">
        <v>50</v>
      </c>
      <c r="D15" s="107">
        <v>80</v>
      </c>
      <c r="N15" s="115" t="s">
        <v>168</v>
      </c>
      <c r="O15" s="115" t="s">
        <v>134</v>
      </c>
      <c r="P15" s="115" t="s">
        <v>135</v>
      </c>
      <c r="Q15" s="115" t="s">
        <v>136</v>
      </c>
    </row>
    <row r="16" spans="1:18" ht="15.75" thickBot="1" x14ac:dyDescent="0.3">
      <c r="A16" s="5" t="s">
        <v>83</v>
      </c>
      <c r="B16" s="17">
        <v>110</v>
      </c>
      <c r="C16" s="108">
        <v>80</v>
      </c>
      <c r="D16" s="109">
        <v>120</v>
      </c>
      <c r="N16" s="72">
        <v>5</v>
      </c>
      <c r="O16" s="72">
        <f t="shared" ref="O16:O26" si="4">IF(N16&lt;=$B$13,$B$16,IF(N16&gt;=$B$14,$B$15,$B$16-($B$21*(N16-$B$13))))</f>
        <v>110</v>
      </c>
      <c r="P16" s="72">
        <f t="shared" ref="P16:P26" si="5">IF(N16&lt;=$B$13,$C$16,IF(N16&gt;=$B$14,$C$15,$C$16-($C$21*(N16-$B$13))))</f>
        <v>80</v>
      </c>
      <c r="Q16" s="72">
        <f t="shared" ref="Q16:Q26" si="6">IF(N16&lt;=$B$13,$D$16,IF(N16&gt;=$B$14,$D$15,$D$16-($D$21*(N16-$B$13))))</f>
        <v>120</v>
      </c>
    </row>
    <row r="17" spans="1:17" x14ac:dyDescent="0.25">
      <c r="N17" s="72">
        <v>10</v>
      </c>
      <c r="O17" s="72">
        <f t="shared" si="4"/>
        <v>110</v>
      </c>
      <c r="P17" s="72">
        <f t="shared" si="5"/>
        <v>80</v>
      </c>
      <c r="Q17" s="72">
        <f t="shared" si="6"/>
        <v>120</v>
      </c>
    </row>
    <row r="18" spans="1:17" x14ac:dyDescent="0.25">
      <c r="N18" s="72">
        <v>15</v>
      </c>
      <c r="O18" s="72">
        <f t="shared" si="4"/>
        <v>105</v>
      </c>
      <c r="P18" s="72">
        <f t="shared" si="5"/>
        <v>76.25</v>
      </c>
      <c r="Q18" s="72">
        <f t="shared" si="6"/>
        <v>115</v>
      </c>
    </row>
    <row r="19" spans="1:17" x14ac:dyDescent="0.25">
      <c r="N19" s="72">
        <v>20</v>
      </c>
      <c r="O19" s="72">
        <f t="shared" si="4"/>
        <v>100</v>
      </c>
      <c r="P19" s="72">
        <f t="shared" si="5"/>
        <v>72.5</v>
      </c>
      <c r="Q19" s="72">
        <f t="shared" si="6"/>
        <v>110</v>
      </c>
    </row>
    <row r="20" spans="1:17" x14ac:dyDescent="0.25">
      <c r="N20" s="72">
        <v>25</v>
      </c>
      <c r="O20" s="72">
        <f t="shared" si="4"/>
        <v>95</v>
      </c>
      <c r="P20" s="72">
        <f t="shared" si="5"/>
        <v>68.75</v>
      </c>
      <c r="Q20" s="72">
        <f t="shared" si="6"/>
        <v>105</v>
      </c>
    </row>
    <row r="21" spans="1:17" x14ac:dyDescent="0.25">
      <c r="B21" s="72">
        <f>(B16-B15)/(B14-B13)</f>
        <v>1</v>
      </c>
      <c r="C21" s="72">
        <f>(C16-C15)/(B14-B13)</f>
        <v>0.75</v>
      </c>
      <c r="D21" s="72">
        <f>(D16-D15)/(B14-B13)</f>
        <v>1</v>
      </c>
      <c r="N21" s="72">
        <v>30</v>
      </c>
      <c r="O21" s="72">
        <f t="shared" si="4"/>
        <v>90</v>
      </c>
      <c r="P21" s="72">
        <f t="shared" si="5"/>
        <v>65</v>
      </c>
      <c r="Q21" s="72">
        <f t="shared" si="6"/>
        <v>100</v>
      </c>
    </row>
    <row r="22" spans="1:17" x14ac:dyDescent="0.25">
      <c r="N22" s="72">
        <v>35</v>
      </c>
      <c r="O22" s="72">
        <f t="shared" si="4"/>
        <v>85</v>
      </c>
      <c r="P22" s="72">
        <f t="shared" si="5"/>
        <v>61.25</v>
      </c>
      <c r="Q22" s="72">
        <f t="shared" si="6"/>
        <v>95</v>
      </c>
    </row>
    <row r="23" spans="1:17" ht="19.5" thickBot="1" x14ac:dyDescent="0.35">
      <c r="A23" s="2" t="s">
        <v>194</v>
      </c>
      <c r="N23" s="72">
        <v>40</v>
      </c>
      <c r="O23" s="72">
        <f t="shared" si="4"/>
        <v>80</v>
      </c>
      <c r="P23" s="72">
        <f t="shared" si="5"/>
        <v>57.5</v>
      </c>
      <c r="Q23" s="72">
        <f t="shared" si="6"/>
        <v>90</v>
      </c>
    </row>
    <row r="24" spans="1:17" x14ac:dyDescent="0.25">
      <c r="A24" s="100"/>
      <c r="B24" s="101" t="s">
        <v>131</v>
      </c>
      <c r="C24" s="208" t="s">
        <v>132</v>
      </c>
      <c r="D24" s="209"/>
      <c r="N24" s="72">
        <v>45</v>
      </c>
      <c r="O24" s="72">
        <f t="shared" si="4"/>
        <v>75</v>
      </c>
      <c r="P24" s="72">
        <f t="shared" si="5"/>
        <v>53.75</v>
      </c>
      <c r="Q24" s="72">
        <f t="shared" si="6"/>
        <v>85</v>
      </c>
    </row>
    <row r="25" spans="1:17" x14ac:dyDescent="0.25">
      <c r="A25" s="5" t="s">
        <v>80</v>
      </c>
      <c r="B25" s="118">
        <v>10</v>
      </c>
      <c r="C25" s="210"/>
      <c r="D25" s="211"/>
      <c r="N25" s="72">
        <v>50</v>
      </c>
      <c r="O25" s="72">
        <f t="shared" si="4"/>
        <v>70</v>
      </c>
      <c r="P25" s="72">
        <f t="shared" si="5"/>
        <v>50</v>
      </c>
      <c r="Q25" s="72">
        <f t="shared" si="6"/>
        <v>80</v>
      </c>
    </row>
    <row r="26" spans="1:17" x14ac:dyDescent="0.25">
      <c r="A26" s="5" t="s">
        <v>81</v>
      </c>
      <c r="B26" s="118">
        <v>50</v>
      </c>
      <c r="C26" s="102" t="s">
        <v>82</v>
      </c>
      <c r="D26" s="103" t="s">
        <v>83</v>
      </c>
      <c r="N26" s="72">
        <v>55</v>
      </c>
      <c r="O26" s="72">
        <f t="shared" si="4"/>
        <v>70</v>
      </c>
      <c r="P26" s="72">
        <f t="shared" si="5"/>
        <v>50</v>
      </c>
      <c r="Q26" s="72">
        <f t="shared" si="6"/>
        <v>80</v>
      </c>
    </row>
    <row r="27" spans="1:17" x14ac:dyDescent="0.25">
      <c r="A27" s="5" t="s">
        <v>82</v>
      </c>
      <c r="B27" s="17">
        <v>400</v>
      </c>
      <c r="C27" s="106">
        <v>300</v>
      </c>
      <c r="D27" s="107">
        <v>600</v>
      </c>
      <c r="N27" s="115" t="s">
        <v>168</v>
      </c>
      <c r="O27" s="116" t="s">
        <v>134</v>
      </c>
      <c r="P27" s="116" t="s">
        <v>135</v>
      </c>
      <c r="Q27" s="116" t="s">
        <v>136</v>
      </c>
    </row>
    <row r="28" spans="1:17" ht="15.75" thickBot="1" x14ac:dyDescent="0.3">
      <c r="A28" s="5" t="s">
        <v>83</v>
      </c>
      <c r="B28" s="17">
        <v>750</v>
      </c>
      <c r="C28" s="108">
        <v>600</v>
      </c>
      <c r="D28" s="109">
        <v>900</v>
      </c>
      <c r="N28" s="72">
        <v>5</v>
      </c>
      <c r="O28" s="117">
        <f>IF(N28&lt;=$B$25,$B$28,IF(N28&gt;=$B$26,$B$27,$B$28-($B$29*(N28-$B$25))))</f>
        <v>750</v>
      </c>
      <c r="P28" s="117">
        <f>IF(N28&lt;=$B$25,$C$28,IF(N28&gt;=$B$26,$C$27,$C$28-($C$29*(N28-$B$25))))</f>
        <v>600</v>
      </c>
      <c r="Q28" s="117">
        <f>IF(N28&lt;=$B$25,$D$28,IF(N28&gt;=$B$26,$D$27,$D$28-($D$29*(N28-$B$25))))</f>
        <v>900</v>
      </c>
    </row>
    <row r="29" spans="1:17" x14ac:dyDescent="0.25">
      <c r="B29" s="114">
        <f>(B28-B27)/(B26-B25)</f>
        <v>8.75</v>
      </c>
      <c r="C29" s="72">
        <f>(C28-C27)/(B26-B25)</f>
        <v>7.5</v>
      </c>
      <c r="D29" s="72">
        <f>(D28-D27)/(B26-B25)</f>
        <v>7.5</v>
      </c>
      <c r="N29" s="72">
        <v>10</v>
      </c>
      <c r="O29" s="117">
        <f t="shared" ref="O29:O38" si="7">IF(N29&lt;=$B$25,$B$28,IF(N29&gt;=$B$26,$B$27,$B$28-($B$29*(N29-$B$25))))</f>
        <v>750</v>
      </c>
      <c r="P29" s="117">
        <f t="shared" ref="P29:P38" si="8">IF(N29&lt;=$B$25,$C$28,IF(N29&gt;=$B$26,$C$27,$C$28-($C$29*(N29-$B$25))))</f>
        <v>600</v>
      </c>
      <c r="Q29" s="117">
        <f t="shared" ref="Q29:Q38" si="9">IF(N29&lt;=$B$25,$D$28,IF(N29&gt;=$B$26,$D$27,$D$28-($D$29*(N29-$B$25))))</f>
        <v>900</v>
      </c>
    </row>
    <row r="30" spans="1:17" x14ac:dyDescent="0.25">
      <c r="N30" s="72">
        <v>15</v>
      </c>
      <c r="O30" s="117">
        <f t="shared" si="7"/>
        <v>706.25</v>
      </c>
      <c r="P30" s="117">
        <f t="shared" si="8"/>
        <v>562.5</v>
      </c>
      <c r="Q30" s="117">
        <f t="shared" si="9"/>
        <v>862.5</v>
      </c>
    </row>
    <row r="31" spans="1:17" ht="14.25" customHeight="1" x14ac:dyDescent="0.25">
      <c r="N31" s="72">
        <v>20</v>
      </c>
      <c r="O31" s="117">
        <f t="shared" si="7"/>
        <v>662.5</v>
      </c>
      <c r="P31" s="117">
        <f t="shared" si="8"/>
        <v>525</v>
      </c>
      <c r="Q31" s="117">
        <f t="shared" si="9"/>
        <v>825</v>
      </c>
    </row>
    <row r="32" spans="1:17" x14ac:dyDescent="0.25">
      <c r="N32" s="72">
        <v>25</v>
      </c>
      <c r="O32" s="117">
        <f t="shared" si="7"/>
        <v>618.75</v>
      </c>
      <c r="P32" s="117">
        <f t="shared" si="8"/>
        <v>487.5</v>
      </c>
      <c r="Q32" s="117">
        <f t="shared" si="9"/>
        <v>787.5</v>
      </c>
    </row>
    <row r="33" spans="1:17" x14ac:dyDescent="0.25">
      <c r="N33" s="72">
        <v>30</v>
      </c>
      <c r="O33" s="117">
        <f t="shared" si="7"/>
        <v>575</v>
      </c>
      <c r="P33" s="117">
        <f t="shared" si="8"/>
        <v>450</v>
      </c>
      <c r="Q33" s="117">
        <f t="shared" si="9"/>
        <v>750</v>
      </c>
    </row>
    <row r="34" spans="1:17" x14ac:dyDescent="0.25">
      <c r="N34" s="72">
        <v>35</v>
      </c>
      <c r="O34" s="117">
        <f t="shared" si="7"/>
        <v>531.25</v>
      </c>
      <c r="P34" s="117">
        <f t="shared" si="8"/>
        <v>412.5</v>
      </c>
      <c r="Q34" s="117">
        <f t="shared" si="9"/>
        <v>712.5</v>
      </c>
    </row>
    <row r="35" spans="1:17" x14ac:dyDescent="0.25">
      <c r="N35" s="72">
        <v>40</v>
      </c>
      <c r="O35" s="117">
        <f t="shared" si="7"/>
        <v>487.5</v>
      </c>
      <c r="P35" s="117">
        <f t="shared" si="8"/>
        <v>375</v>
      </c>
      <c r="Q35" s="117">
        <f t="shared" si="9"/>
        <v>675</v>
      </c>
    </row>
    <row r="36" spans="1:17" x14ac:dyDescent="0.25">
      <c r="N36" s="72">
        <v>45</v>
      </c>
      <c r="O36" s="117">
        <f t="shared" si="7"/>
        <v>443.75</v>
      </c>
      <c r="P36" s="117">
        <f t="shared" si="8"/>
        <v>337.5</v>
      </c>
      <c r="Q36" s="117">
        <f t="shared" si="9"/>
        <v>637.5</v>
      </c>
    </row>
    <row r="37" spans="1:17" ht="19.5" thickBot="1" x14ac:dyDescent="0.35">
      <c r="A37" s="2" t="s">
        <v>195</v>
      </c>
      <c r="N37" s="72">
        <v>50</v>
      </c>
      <c r="O37" s="117">
        <f t="shared" si="7"/>
        <v>400</v>
      </c>
      <c r="P37" s="117">
        <f t="shared" si="8"/>
        <v>300</v>
      </c>
      <c r="Q37" s="117">
        <f t="shared" si="9"/>
        <v>600</v>
      </c>
    </row>
    <row r="38" spans="1:17" x14ac:dyDescent="0.25">
      <c r="A38" s="18"/>
      <c r="B38" s="14" t="s">
        <v>131</v>
      </c>
      <c r="C38" s="212" t="s">
        <v>132</v>
      </c>
      <c r="D38" s="213"/>
      <c r="N38" s="72">
        <v>55</v>
      </c>
      <c r="O38" s="117">
        <f t="shared" si="7"/>
        <v>400</v>
      </c>
      <c r="P38" s="117">
        <f t="shared" si="8"/>
        <v>300</v>
      </c>
      <c r="Q38" s="117">
        <f t="shared" si="9"/>
        <v>600</v>
      </c>
    </row>
    <row r="39" spans="1:17" x14ac:dyDescent="0.25">
      <c r="A39" s="19" t="s">
        <v>114</v>
      </c>
      <c r="B39" s="19" t="s">
        <v>113</v>
      </c>
      <c r="C39" s="102" t="s">
        <v>82</v>
      </c>
      <c r="D39" s="103" t="s">
        <v>83</v>
      </c>
    </row>
    <row r="40" spans="1:17" x14ac:dyDescent="0.25">
      <c r="A40" s="105">
        <v>15</v>
      </c>
      <c r="B40" s="29">
        <v>7100</v>
      </c>
      <c r="C40" s="110">
        <v>6500</v>
      </c>
      <c r="D40" s="111">
        <v>11000</v>
      </c>
    </row>
    <row r="41" spans="1:17" x14ac:dyDescent="0.25">
      <c r="A41" s="105">
        <v>25</v>
      </c>
      <c r="B41" s="29">
        <v>7550</v>
      </c>
      <c r="C41" s="110">
        <v>6500</v>
      </c>
      <c r="D41" s="111">
        <v>11000</v>
      </c>
    </row>
    <row r="42" spans="1:17" x14ac:dyDescent="0.25">
      <c r="A42" s="105">
        <v>50</v>
      </c>
      <c r="B42" s="29">
        <v>8100</v>
      </c>
      <c r="C42" s="110">
        <v>7000</v>
      </c>
      <c r="D42" s="111">
        <v>12000</v>
      </c>
    </row>
    <row r="43" spans="1:17" x14ac:dyDescent="0.25">
      <c r="A43" s="105">
        <v>100</v>
      </c>
      <c r="B43" s="29">
        <v>8500</v>
      </c>
      <c r="C43" s="110">
        <v>7000</v>
      </c>
      <c r="D43" s="111">
        <v>12000</v>
      </c>
    </row>
    <row r="44" spans="1:17" x14ac:dyDescent="0.25">
      <c r="A44" s="105">
        <v>150</v>
      </c>
      <c r="B44" s="29">
        <v>8900</v>
      </c>
      <c r="C44" s="110">
        <v>9000</v>
      </c>
      <c r="D44" s="111">
        <v>15000</v>
      </c>
    </row>
    <row r="45" spans="1:17" x14ac:dyDescent="0.25">
      <c r="A45" s="105">
        <v>200</v>
      </c>
      <c r="B45" s="29">
        <v>11560</v>
      </c>
      <c r="C45" s="110">
        <v>10000</v>
      </c>
      <c r="D45" s="111">
        <v>17000</v>
      </c>
    </row>
    <row r="46" spans="1:17" x14ac:dyDescent="0.25">
      <c r="A46" s="105">
        <v>250</v>
      </c>
      <c r="B46" s="29">
        <v>13850</v>
      </c>
      <c r="C46" s="110">
        <v>12000</v>
      </c>
      <c r="D46" s="111">
        <v>20000</v>
      </c>
    </row>
    <row r="47" spans="1:17" x14ac:dyDescent="0.25">
      <c r="A47" s="105">
        <v>350</v>
      </c>
      <c r="B47" s="29">
        <v>15550</v>
      </c>
      <c r="C47" s="110">
        <v>14000</v>
      </c>
      <c r="D47" s="111">
        <v>23000</v>
      </c>
    </row>
    <row r="48" spans="1:17" x14ac:dyDescent="0.25">
      <c r="A48" s="105">
        <v>500</v>
      </c>
      <c r="B48" s="29">
        <v>18700</v>
      </c>
      <c r="C48" s="110">
        <v>16000</v>
      </c>
      <c r="D48" s="111">
        <v>25000</v>
      </c>
    </row>
    <row r="49" spans="1:17" x14ac:dyDescent="0.25">
      <c r="A49" s="105">
        <v>750</v>
      </c>
      <c r="B49" s="29">
        <v>29500</v>
      </c>
      <c r="C49" s="110">
        <v>21000</v>
      </c>
      <c r="D49" s="111">
        <v>35000</v>
      </c>
    </row>
    <row r="50" spans="1:17" ht="15.75" thickBot="1" x14ac:dyDescent="0.3">
      <c r="A50" s="105">
        <v>1000</v>
      </c>
      <c r="B50" s="29">
        <v>31100</v>
      </c>
      <c r="C50" s="112">
        <v>26000</v>
      </c>
      <c r="D50" s="113">
        <v>42000</v>
      </c>
      <c r="O50" s="117"/>
      <c r="P50" s="117"/>
      <c r="Q50" s="117"/>
    </row>
    <row r="51" spans="1:17" x14ac:dyDescent="0.25">
      <c r="N51" s="115" t="s">
        <v>169</v>
      </c>
      <c r="O51" s="116" t="s">
        <v>134</v>
      </c>
      <c r="P51" s="116" t="s">
        <v>135</v>
      </c>
      <c r="Q51" s="116" t="s">
        <v>136</v>
      </c>
    </row>
    <row r="52" spans="1:17" ht="19.5" thickBot="1" x14ac:dyDescent="0.35">
      <c r="A52" s="2" t="s">
        <v>196</v>
      </c>
      <c r="N52" s="72">
        <v>1</v>
      </c>
      <c r="O52" s="117">
        <f>IF(N52&lt;=$B$54,$B$57,IF(N52&gt;=$B$55,$B$56,$B$57-($B$58*(N52-$B$54))))</f>
        <v>650</v>
      </c>
      <c r="P52" s="117">
        <f>IF(N52&lt;=$B$54,$C$57,IF(N52&gt;=$B$55,$C$56,$C$57-($C$58*(N52-$B$54))))</f>
        <v>500</v>
      </c>
      <c r="Q52" s="117">
        <f>IF(N52&lt;=$B$54,$D$57,IF(N52&gt;=$B$55,$D$56,$D$57-($D$58*(N52-$B$54))))</f>
        <v>800</v>
      </c>
    </row>
    <row r="53" spans="1:17" x14ac:dyDescent="0.25">
      <c r="A53" s="100"/>
      <c r="B53" s="101" t="s">
        <v>131</v>
      </c>
      <c r="C53" s="208" t="s">
        <v>132</v>
      </c>
      <c r="D53" s="209"/>
      <c r="N53" s="72">
        <v>2</v>
      </c>
      <c r="O53" s="117">
        <f t="shared" ref="O53:O68" si="10">IF(N53&lt;=$B$54,$B$57,IF(N53&gt;=$B$55,$B$56,$B$57-($B$58*(N53-$B$54))))</f>
        <v>628.57142857142856</v>
      </c>
      <c r="P53" s="117">
        <f t="shared" ref="P53:P68" si="11">IF(N53&lt;=$B$54,$C$57,IF(N53&gt;=$B$55,$C$56,$C$57-($C$58*(N53-$B$54))))</f>
        <v>478.57142857142856</v>
      </c>
      <c r="Q53" s="117">
        <f t="shared" ref="Q53:Q68" si="12">IF(N53&lt;=$B$54,$D$57,IF(N53&gt;=$B$55,$D$56,$D$57-($D$58*(N53-$B$54))))</f>
        <v>778.57142857142856</v>
      </c>
    </row>
    <row r="54" spans="1:17" x14ac:dyDescent="0.25">
      <c r="A54" s="5" t="s">
        <v>140</v>
      </c>
      <c r="B54" s="118">
        <v>1</v>
      </c>
      <c r="C54" s="210"/>
      <c r="D54" s="211"/>
      <c r="N54" s="72">
        <v>3</v>
      </c>
      <c r="O54" s="117">
        <f t="shared" si="10"/>
        <v>607.14285714285711</v>
      </c>
      <c r="P54" s="117">
        <f t="shared" si="11"/>
        <v>457.14285714285717</v>
      </c>
      <c r="Q54" s="117">
        <f t="shared" si="12"/>
        <v>757.14285714285711</v>
      </c>
    </row>
    <row r="55" spans="1:17" x14ac:dyDescent="0.25">
      <c r="A55" s="5" t="s">
        <v>141</v>
      </c>
      <c r="B55" s="118">
        <v>15</v>
      </c>
      <c r="C55" s="102" t="s">
        <v>82</v>
      </c>
      <c r="D55" s="103" t="s">
        <v>83</v>
      </c>
      <c r="N55" s="72">
        <v>4</v>
      </c>
      <c r="O55" s="117">
        <f t="shared" si="10"/>
        <v>585.71428571428578</v>
      </c>
      <c r="P55" s="117">
        <f t="shared" si="11"/>
        <v>435.71428571428572</v>
      </c>
      <c r="Q55" s="117">
        <f t="shared" si="12"/>
        <v>735.71428571428578</v>
      </c>
    </row>
    <row r="56" spans="1:17" x14ac:dyDescent="0.25">
      <c r="A56" s="5" t="s">
        <v>82</v>
      </c>
      <c r="B56" s="17">
        <v>350</v>
      </c>
      <c r="C56" s="106">
        <v>200</v>
      </c>
      <c r="D56" s="107">
        <v>500</v>
      </c>
      <c r="N56" s="72">
        <v>5</v>
      </c>
      <c r="O56" s="117">
        <f t="shared" si="10"/>
        <v>564.28571428571433</v>
      </c>
      <c r="P56" s="117">
        <f t="shared" si="11"/>
        <v>414.28571428571428</v>
      </c>
      <c r="Q56" s="117">
        <f t="shared" si="12"/>
        <v>714.28571428571433</v>
      </c>
    </row>
    <row r="57" spans="1:17" ht="15.75" thickBot="1" x14ac:dyDescent="0.3">
      <c r="A57" s="5" t="s">
        <v>83</v>
      </c>
      <c r="B57" s="17">
        <v>650</v>
      </c>
      <c r="C57" s="108">
        <v>500</v>
      </c>
      <c r="D57" s="109">
        <v>800</v>
      </c>
      <c r="N57" s="72">
        <v>6</v>
      </c>
      <c r="O57" s="117">
        <f t="shared" si="10"/>
        <v>542.85714285714289</v>
      </c>
      <c r="P57" s="117">
        <f t="shared" si="11"/>
        <v>392.85714285714289</v>
      </c>
      <c r="Q57" s="117">
        <f t="shared" si="12"/>
        <v>692.85714285714289</v>
      </c>
    </row>
    <row r="58" spans="1:17" x14ac:dyDescent="0.25">
      <c r="B58" s="114">
        <f>(B57-B56)/(B55-B54)</f>
        <v>21.428571428571427</v>
      </c>
      <c r="C58" s="72">
        <f>(C57-C56)/(B55-B54)</f>
        <v>21.428571428571427</v>
      </c>
      <c r="D58" s="72">
        <f>(D57-D56)/(B55-B54)</f>
        <v>21.428571428571427</v>
      </c>
      <c r="N58" s="72">
        <v>7</v>
      </c>
      <c r="O58" s="117">
        <f t="shared" si="10"/>
        <v>521.42857142857144</v>
      </c>
      <c r="P58" s="117">
        <f t="shared" si="11"/>
        <v>371.42857142857144</v>
      </c>
      <c r="Q58" s="117">
        <f t="shared" si="12"/>
        <v>671.42857142857144</v>
      </c>
    </row>
    <row r="59" spans="1:17" x14ac:dyDescent="0.25">
      <c r="N59" s="72">
        <v>8</v>
      </c>
      <c r="O59" s="117">
        <f t="shared" si="10"/>
        <v>500</v>
      </c>
      <c r="P59" s="117">
        <f t="shared" si="11"/>
        <v>350</v>
      </c>
      <c r="Q59" s="117">
        <f t="shared" si="12"/>
        <v>650</v>
      </c>
    </row>
    <row r="60" spans="1:17" x14ac:dyDescent="0.25">
      <c r="N60" s="72">
        <v>9</v>
      </c>
      <c r="O60" s="117">
        <f t="shared" si="10"/>
        <v>478.57142857142856</v>
      </c>
      <c r="P60" s="117">
        <f t="shared" si="11"/>
        <v>328.57142857142856</v>
      </c>
      <c r="Q60" s="117">
        <f t="shared" si="12"/>
        <v>628.57142857142856</v>
      </c>
    </row>
    <row r="61" spans="1:17" x14ac:dyDescent="0.25">
      <c r="N61" s="72">
        <v>10</v>
      </c>
      <c r="O61" s="117">
        <f t="shared" si="10"/>
        <v>457.14285714285717</v>
      </c>
      <c r="P61" s="117">
        <f t="shared" si="11"/>
        <v>307.14285714285717</v>
      </c>
      <c r="Q61" s="117">
        <f t="shared" si="12"/>
        <v>607.14285714285711</v>
      </c>
    </row>
    <row r="62" spans="1:17" x14ac:dyDescent="0.25">
      <c r="N62" s="72">
        <v>11</v>
      </c>
      <c r="O62" s="117">
        <f t="shared" si="10"/>
        <v>435.71428571428572</v>
      </c>
      <c r="P62" s="117">
        <f t="shared" si="11"/>
        <v>285.71428571428572</v>
      </c>
      <c r="Q62" s="117">
        <f t="shared" si="12"/>
        <v>585.71428571428578</v>
      </c>
    </row>
    <row r="63" spans="1:17" x14ac:dyDescent="0.25">
      <c r="N63" s="72">
        <v>12</v>
      </c>
      <c r="O63" s="117">
        <f t="shared" si="10"/>
        <v>414.28571428571433</v>
      </c>
      <c r="P63" s="117">
        <f t="shared" si="11"/>
        <v>264.28571428571433</v>
      </c>
      <c r="Q63" s="117">
        <f t="shared" si="12"/>
        <v>564.28571428571433</v>
      </c>
    </row>
    <row r="64" spans="1:17" x14ac:dyDescent="0.25">
      <c r="N64" s="72">
        <v>13</v>
      </c>
      <c r="O64" s="117">
        <f t="shared" si="10"/>
        <v>392.85714285714289</v>
      </c>
      <c r="P64" s="117">
        <f t="shared" si="11"/>
        <v>242.85714285714289</v>
      </c>
      <c r="Q64" s="117">
        <f t="shared" si="12"/>
        <v>542.85714285714289</v>
      </c>
    </row>
    <row r="65" spans="14:17" x14ac:dyDescent="0.25">
      <c r="N65" s="72">
        <v>14</v>
      </c>
      <c r="O65" s="117">
        <f t="shared" si="10"/>
        <v>371.42857142857144</v>
      </c>
      <c r="P65" s="117">
        <f t="shared" si="11"/>
        <v>221.42857142857144</v>
      </c>
      <c r="Q65" s="117">
        <f t="shared" si="12"/>
        <v>521.42857142857144</v>
      </c>
    </row>
    <row r="66" spans="14:17" x14ac:dyDescent="0.25">
      <c r="N66" s="72">
        <v>15</v>
      </c>
      <c r="O66" s="117">
        <f t="shared" si="10"/>
        <v>350</v>
      </c>
      <c r="P66" s="117">
        <f t="shared" si="11"/>
        <v>200</v>
      </c>
      <c r="Q66" s="117">
        <f t="shared" si="12"/>
        <v>500</v>
      </c>
    </row>
    <row r="67" spans="14:17" x14ac:dyDescent="0.25">
      <c r="N67" s="72">
        <v>16</v>
      </c>
      <c r="O67" s="117">
        <f t="shared" si="10"/>
        <v>350</v>
      </c>
      <c r="P67" s="117">
        <f t="shared" si="11"/>
        <v>200</v>
      </c>
      <c r="Q67" s="117">
        <f t="shared" si="12"/>
        <v>500</v>
      </c>
    </row>
    <row r="68" spans="14:17" x14ac:dyDescent="0.25">
      <c r="N68" s="72">
        <v>17</v>
      </c>
      <c r="O68" s="117">
        <f t="shared" si="10"/>
        <v>350</v>
      </c>
      <c r="P68" s="117">
        <f t="shared" si="11"/>
        <v>200</v>
      </c>
      <c r="Q68" s="117">
        <f t="shared" si="12"/>
        <v>500</v>
      </c>
    </row>
  </sheetData>
  <sheetProtection algorithmName="SHA-512" hashValue="FtHMz6ehSZMAwFrSV8VHq1CA9CkMhhyCMtmpr7tMIePY7q+J5LQSyldzsuyDXChuIhXWnFWtIVKxaxfz0Y/Guw==" saltValue="YKGrzuKdVY9mBxw6gM/K6w==" spinCount="100000" sheet="1" objects="1" scenarios="1" selectLockedCells="1"/>
  <mergeCells count="5">
    <mergeCell ref="C53:D54"/>
    <mergeCell ref="C2:D3"/>
    <mergeCell ref="C12:D13"/>
    <mergeCell ref="C24:D25"/>
    <mergeCell ref="C38:D38"/>
  </mergeCells>
  <dataValidations count="1">
    <dataValidation type="decimal" showInputMessage="1" showErrorMessage="1" errorTitle="Ungültig" error="Min, Max beachten" sqref="B5:B6 B15:B16 B27:B28 B56:B57" xr:uid="{0592F098-9F02-4C26-AF28-A249E61A7139}">
      <formula1>C5</formula1>
      <formula2>D5</formula2>
    </dataValidation>
  </dataValidations>
  <pageMargins left="0.59055118110236227" right="0.59055118110236227" top="1.1811023622047245" bottom="0.78740157480314965" header="0.31496062992125984" footer="0.31496062992125984"/>
  <pageSetup paperSize="9" scale="66" fitToHeight="0" orientation="portrait" r:id="rId1"/>
  <headerFooter>
    <oddHeader>&amp;L&amp;G&amp;R&amp;G</oddHeader>
    <oddFooter>&amp;LPowered by Argast Informatik- und Elektroengineering, Laufenburg&amp;R&amp;D : &amp;T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0D504-7A49-4613-82FE-702FE59E61D7}">
  <sheetPr codeName="Tabelle11"/>
  <dimension ref="A1:H82"/>
  <sheetViews>
    <sheetView workbookViewId="0">
      <selection activeCell="D1" sqref="D1"/>
    </sheetView>
  </sheetViews>
  <sheetFormatPr baseColWidth="10" defaultRowHeight="15" x14ac:dyDescent="0.25"/>
  <cols>
    <col min="1" max="1" width="47" customWidth="1"/>
  </cols>
  <sheetData>
    <row r="1" spans="1:8" x14ac:dyDescent="0.25">
      <c r="A1" t="s">
        <v>51</v>
      </c>
      <c r="B1" s="7" t="s">
        <v>203</v>
      </c>
      <c r="D1" t="s">
        <v>108</v>
      </c>
    </row>
    <row r="3" spans="1:8" x14ac:dyDescent="0.25">
      <c r="A3" t="s">
        <v>56</v>
      </c>
      <c r="B3">
        <v>0.8</v>
      </c>
      <c r="C3">
        <v>1.2</v>
      </c>
    </row>
    <row r="4" spans="1:8" x14ac:dyDescent="0.25">
      <c r="A4" t="s">
        <v>0</v>
      </c>
      <c r="B4">
        <v>2320</v>
      </c>
    </row>
    <row r="5" spans="1:8" x14ac:dyDescent="0.25">
      <c r="A5" t="s">
        <v>50</v>
      </c>
      <c r="B5">
        <v>1560</v>
      </c>
    </row>
    <row r="6" spans="1:8" x14ac:dyDescent="0.25">
      <c r="A6" t="s">
        <v>85</v>
      </c>
      <c r="D6">
        <v>25</v>
      </c>
      <c r="E6">
        <v>40</v>
      </c>
      <c r="F6">
        <v>70</v>
      </c>
      <c r="G6">
        <v>100</v>
      </c>
      <c r="H6">
        <v>500</v>
      </c>
    </row>
    <row r="7" spans="1:8" x14ac:dyDescent="0.25">
      <c r="A7" t="s">
        <v>86</v>
      </c>
      <c r="D7">
        <v>4500</v>
      </c>
      <c r="E7">
        <v>5300</v>
      </c>
      <c r="F7">
        <v>8100</v>
      </c>
      <c r="G7">
        <v>15100</v>
      </c>
      <c r="H7">
        <v>26500</v>
      </c>
    </row>
    <row r="8" spans="1:8" x14ac:dyDescent="0.25">
      <c r="A8" t="s">
        <v>111</v>
      </c>
      <c r="D8">
        <v>4800</v>
      </c>
      <c r="E8">
        <v>5700</v>
      </c>
      <c r="F8">
        <v>7200</v>
      </c>
      <c r="G8">
        <v>8700</v>
      </c>
      <c r="H8">
        <v>13200</v>
      </c>
    </row>
    <row r="11" spans="1:8" x14ac:dyDescent="0.25">
      <c r="A11" t="s">
        <v>54</v>
      </c>
      <c r="B11">
        <v>3400</v>
      </c>
    </row>
    <row r="12" spans="1:8" x14ac:dyDescent="0.25">
      <c r="A12" t="s">
        <v>55</v>
      </c>
      <c r="B12">
        <v>1200</v>
      </c>
    </row>
    <row r="15" spans="1:8" x14ac:dyDescent="0.25">
      <c r="A15" t="s">
        <v>1</v>
      </c>
    </row>
    <row r="17" spans="1:2" x14ac:dyDescent="0.25">
      <c r="A17" s="1" t="s">
        <v>2</v>
      </c>
    </row>
    <row r="27" spans="1:2" x14ac:dyDescent="0.25">
      <c r="A27" t="s">
        <v>87</v>
      </c>
      <c r="B27" s="9">
        <f>Grunddaten!C44*16/28</f>
        <v>1741.1428571428571</v>
      </c>
    </row>
    <row r="30" spans="1:2" x14ac:dyDescent="0.25">
      <c r="B30" s="9"/>
    </row>
    <row r="31" spans="1:2" x14ac:dyDescent="0.25">
      <c r="B31" t="s">
        <v>217</v>
      </c>
    </row>
    <row r="32" spans="1:2" x14ac:dyDescent="0.25">
      <c r="A32" t="s">
        <v>213</v>
      </c>
      <c r="B32" t="s">
        <v>218</v>
      </c>
    </row>
    <row r="33" spans="1:2" x14ac:dyDescent="0.25">
      <c r="A33" t="s">
        <v>49</v>
      </c>
      <c r="B33" t="s">
        <v>221</v>
      </c>
    </row>
    <row r="34" spans="1:2" x14ac:dyDescent="0.25">
      <c r="A34" t="s">
        <v>11</v>
      </c>
      <c r="B34" t="s">
        <v>219</v>
      </c>
    </row>
    <row r="35" spans="1:2" x14ac:dyDescent="0.25">
      <c r="A35" t="s">
        <v>71</v>
      </c>
      <c r="B35" t="s">
        <v>220</v>
      </c>
    </row>
    <row r="36" spans="1:2" x14ac:dyDescent="0.25">
      <c r="A36" t="s">
        <v>13</v>
      </c>
    </row>
    <row r="37" spans="1:2" x14ac:dyDescent="0.25">
      <c r="A37" t="s">
        <v>14</v>
      </c>
      <c r="B37" t="s">
        <v>223</v>
      </c>
    </row>
    <row r="38" spans="1:2" x14ac:dyDescent="0.25">
      <c r="A38" t="s">
        <v>15</v>
      </c>
      <c r="B38" t="s">
        <v>224</v>
      </c>
    </row>
    <row r="39" spans="1:2" x14ac:dyDescent="0.25">
      <c r="A39" t="s">
        <v>65</v>
      </c>
      <c r="B39" t="s">
        <v>225</v>
      </c>
    </row>
    <row r="40" spans="1:2" x14ac:dyDescent="0.25">
      <c r="A40" t="s">
        <v>66</v>
      </c>
      <c r="B40" t="s">
        <v>227</v>
      </c>
    </row>
    <row r="41" spans="1:2" x14ac:dyDescent="0.25">
      <c r="A41" t="s">
        <v>67</v>
      </c>
    </row>
    <row r="42" spans="1:2" x14ac:dyDescent="0.25">
      <c r="A42" t="s">
        <v>68</v>
      </c>
    </row>
    <row r="43" spans="1:2" x14ac:dyDescent="0.25">
      <c r="A43" t="s">
        <v>53</v>
      </c>
    </row>
    <row r="44" spans="1:2" x14ac:dyDescent="0.25">
      <c r="A44" t="s">
        <v>52</v>
      </c>
    </row>
    <row r="45" spans="1:2" x14ac:dyDescent="0.25">
      <c r="A45" s="4" t="s">
        <v>76</v>
      </c>
    </row>
    <row r="46" spans="1:2" x14ac:dyDescent="0.25">
      <c r="A46" t="s">
        <v>22</v>
      </c>
    </row>
    <row r="47" spans="1:2" x14ac:dyDescent="0.25">
      <c r="A47" t="s">
        <v>23</v>
      </c>
    </row>
    <row r="48" spans="1:2" x14ac:dyDescent="0.25">
      <c r="A48" t="s">
        <v>24</v>
      </c>
    </row>
    <row r="49" spans="1:1" x14ac:dyDescent="0.25">
      <c r="A49" s="3" t="s">
        <v>25</v>
      </c>
    </row>
    <row r="50" spans="1:1" x14ac:dyDescent="0.25">
      <c r="A50" s="4" t="s">
        <v>26</v>
      </c>
    </row>
    <row r="51" spans="1:1" x14ac:dyDescent="0.25">
      <c r="A51" s="4" t="s">
        <v>27</v>
      </c>
    </row>
    <row r="52" spans="1:1" x14ac:dyDescent="0.25">
      <c r="A52" s="4" t="s">
        <v>42</v>
      </c>
    </row>
    <row r="53" spans="1:1" x14ac:dyDescent="0.25">
      <c r="A53" t="s">
        <v>28</v>
      </c>
    </row>
    <row r="54" spans="1:1" x14ac:dyDescent="0.25">
      <c r="A54" t="s">
        <v>29</v>
      </c>
    </row>
    <row r="55" spans="1:1" x14ac:dyDescent="0.25">
      <c r="A55" t="s">
        <v>30</v>
      </c>
    </row>
    <row r="56" spans="1:1" x14ac:dyDescent="0.25">
      <c r="A56" s="4" t="s">
        <v>77</v>
      </c>
    </row>
    <row r="57" spans="1:1" x14ac:dyDescent="0.25">
      <c r="A57" s="4" t="s">
        <v>72</v>
      </c>
    </row>
    <row r="58" spans="1:1" x14ac:dyDescent="0.25">
      <c r="A58" s="11" t="s">
        <v>78</v>
      </c>
    </row>
    <row r="59" spans="1:1" x14ac:dyDescent="0.25">
      <c r="A59" s="11" t="s">
        <v>74</v>
      </c>
    </row>
    <row r="60" spans="1:1" x14ac:dyDescent="0.25">
      <c r="A60" s="4" t="s">
        <v>31</v>
      </c>
    </row>
    <row r="61" spans="1:1" x14ac:dyDescent="0.25">
      <c r="A61" s="4" t="s">
        <v>33</v>
      </c>
    </row>
    <row r="62" spans="1:1" x14ac:dyDescent="0.25">
      <c r="A62" s="4" t="s">
        <v>32</v>
      </c>
    </row>
    <row r="63" spans="1:1" x14ac:dyDescent="0.25">
      <c r="A63" t="s">
        <v>37</v>
      </c>
    </row>
    <row r="64" spans="1:1" x14ac:dyDescent="0.25">
      <c r="A64" t="s">
        <v>38</v>
      </c>
    </row>
    <row r="65" spans="1:1" x14ac:dyDescent="0.25">
      <c r="A65" t="s">
        <v>39</v>
      </c>
    </row>
    <row r="66" spans="1:1" x14ac:dyDescent="0.25">
      <c r="A66" t="s">
        <v>44</v>
      </c>
    </row>
    <row r="67" spans="1:1" x14ac:dyDescent="0.25">
      <c r="A67" t="s">
        <v>45</v>
      </c>
    </row>
    <row r="68" spans="1:1" x14ac:dyDescent="0.25">
      <c r="A68" t="s">
        <v>46</v>
      </c>
    </row>
    <row r="69" spans="1:1" x14ac:dyDescent="0.25">
      <c r="A69" t="s">
        <v>47</v>
      </c>
    </row>
    <row r="70" spans="1:1" x14ac:dyDescent="0.25">
      <c r="A70" t="s">
        <v>48</v>
      </c>
    </row>
    <row r="71" spans="1:1" x14ac:dyDescent="0.25">
      <c r="A71" t="s">
        <v>58</v>
      </c>
    </row>
    <row r="72" spans="1:1" x14ac:dyDescent="0.25">
      <c r="A72" t="s">
        <v>62</v>
      </c>
    </row>
    <row r="73" spans="1:1" x14ac:dyDescent="0.25">
      <c r="A73" t="s">
        <v>63</v>
      </c>
    </row>
    <row r="74" spans="1:1" x14ac:dyDescent="0.25">
      <c r="A74" s="4" t="s">
        <v>27</v>
      </c>
    </row>
    <row r="75" spans="1:1" x14ac:dyDescent="0.25">
      <c r="A75" s="4" t="s">
        <v>26</v>
      </c>
    </row>
    <row r="76" spans="1:1" x14ac:dyDescent="0.25">
      <c r="A76" t="s">
        <v>110</v>
      </c>
    </row>
    <row r="80" spans="1:1" x14ac:dyDescent="0.25">
      <c r="A80" t="s">
        <v>145</v>
      </c>
    </row>
    <row r="81" spans="1:1" x14ac:dyDescent="0.25">
      <c r="A81" t="s">
        <v>144</v>
      </c>
    </row>
    <row r="82" spans="1:1" x14ac:dyDescent="0.25">
      <c r="A82" t="s">
        <v>197</v>
      </c>
    </row>
  </sheetData>
  <sheetProtection selectLockedCells="1"/>
  <hyperlinks>
    <hyperlink ref="A17" r:id="rId1" xr:uid="{206A2C59-E5A9-4673-97E2-859F2ED6D976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5</vt:i4>
      </vt:variant>
    </vt:vector>
  </HeadingPairs>
  <TitlesOfParts>
    <vt:vector size="14" baseType="lpstr">
      <vt:lpstr>Grunddaten</vt:lpstr>
      <vt:lpstr>Objekt 1</vt:lpstr>
      <vt:lpstr>Objekt 2</vt:lpstr>
      <vt:lpstr>Erfassung</vt:lpstr>
      <vt:lpstr>Berechnung</vt:lpstr>
      <vt:lpstr>Investition</vt:lpstr>
      <vt:lpstr>Installation</vt:lpstr>
      <vt:lpstr>Preise</vt:lpstr>
      <vt:lpstr>BasisDaten</vt:lpstr>
      <vt:lpstr>Berechnung!Druckbereich</vt:lpstr>
      <vt:lpstr>Erfassung!Druckbereich</vt:lpstr>
      <vt:lpstr>Investition!Druckbereich</vt:lpstr>
      <vt:lpstr>JaNein</vt:lpstr>
      <vt:lpstr>Leer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wL Berechnungen</dc:title>
  <dc:creator>Thomas Argast</dc:creator>
  <cp:keywords>6.3.2025</cp:keywords>
  <cp:lastModifiedBy>Thomas Argast</cp:lastModifiedBy>
  <cp:lastPrinted>2025-03-11T05:11:35Z</cp:lastPrinted>
  <dcterms:created xsi:type="dcterms:W3CDTF">2023-04-22T11:44:54Z</dcterms:created>
  <dcterms:modified xsi:type="dcterms:W3CDTF">2025-06-09T08:00:27Z</dcterms:modified>
</cp:coreProperties>
</file>